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8910" tabRatio="880" activeTab="10"/>
  </bookViews>
  <sheets>
    <sheet name="01" sheetId="48" r:id="rId1"/>
    <sheet name="02" sheetId="49" r:id="rId2"/>
    <sheet name="03" sheetId="50" r:id="rId3"/>
    <sheet name="04" sheetId="51" r:id="rId4"/>
    <sheet name="05" sheetId="52" r:id="rId5"/>
    <sheet name="06" sheetId="53" r:id="rId6"/>
    <sheet name="07" sheetId="54" r:id="rId7"/>
    <sheet name="08" sheetId="58" r:id="rId8"/>
    <sheet name="09" sheetId="67" r:id="rId9"/>
    <sheet name="10" sheetId="60" r:id="rId10"/>
    <sheet name="11" sheetId="61" r:id="rId11"/>
  </sheets>
  <definedNames>
    <definedName name="chuong_phuluc_48" localSheetId="0">'01'!$F$2</definedName>
    <definedName name="chuong_phuluc_48_name" localSheetId="0">'01'!$A$3</definedName>
    <definedName name="chuong_phuluc_49" localSheetId="1">'02'!$E$1</definedName>
    <definedName name="chuong_phuluc_49_name" localSheetId="1">'02'!$A$3</definedName>
    <definedName name="chuong_phuluc_50" localSheetId="2">'03'!$H$1</definedName>
    <definedName name="chuong_phuluc_50_name" localSheetId="2">'03'!$A$2</definedName>
    <definedName name="chuong_phuluc_51" localSheetId="3">'04'!$E$1</definedName>
    <definedName name="chuong_phuluc_51_name" localSheetId="3">'04'!$A$3</definedName>
    <definedName name="chuong_phuluc_52" localSheetId="4">'05'!$F$1</definedName>
    <definedName name="chuong_phuluc_52_name" localSheetId="4">'05'!$A$3</definedName>
    <definedName name="chuong_phuluc_53" localSheetId="5">'06'!$K$1</definedName>
    <definedName name="chuong_phuluc_53_name" localSheetId="5">'06'!$A$3</definedName>
    <definedName name="chuong_phuluc_54" localSheetId="6">'07'!$W$1</definedName>
    <definedName name="chuong_phuluc_54_name" localSheetId="6">'07'!$A$2</definedName>
    <definedName name="chuong_phuluc_58" localSheetId="7">'08'!$S$1</definedName>
    <definedName name="chuong_phuluc_58_name" localSheetId="7">'08'!$A$3</definedName>
    <definedName name="chuong_phuluc_60" localSheetId="9">'10'!$G$1</definedName>
    <definedName name="chuong_phuluc_60_name" localSheetId="9">'10'!$A$3</definedName>
    <definedName name="chuong_phuluc_61" localSheetId="10">'11'!$U$1</definedName>
    <definedName name="chuong_phuluc_61_name" localSheetId="10">'11'!$A$3</definedName>
    <definedName name="_xlnm.Print_Titles" localSheetId="2">'03'!$7:$8</definedName>
    <definedName name="_xlnm.Print_Titles" localSheetId="3">'04'!$7:$7</definedName>
    <definedName name="_xlnm.Print_Titles" localSheetId="5">'06'!$7:$8</definedName>
  </definedNames>
  <calcPr calcId="144525"/>
</workbook>
</file>

<file path=xl/calcChain.xml><?xml version="1.0" encoding="utf-8"?>
<calcChain xmlns="http://schemas.openxmlformats.org/spreadsheetml/2006/main">
  <c r="M9" i="54" l="1"/>
  <c r="M16" i="67" l="1"/>
  <c r="P13" i="58" l="1"/>
  <c r="G77" i="53" l="1"/>
  <c r="K63" i="54" l="1"/>
  <c r="G22" i="53"/>
  <c r="H22" i="53"/>
  <c r="D20" i="51"/>
  <c r="D28" i="48"/>
  <c r="D22" i="49" l="1"/>
  <c r="D42" i="52" l="1"/>
  <c r="K15" i="58"/>
  <c r="J15" i="58"/>
  <c r="H24" i="53"/>
  <c r="D41" i="52"/>
  <c r="D22" i="51"/>
  <c r="D39" i="49"/>
  <c r="D35" i="52" l="1"/>
  <c r="D31" i="52"/>
  <c r="C11" i="60" l="1"/>
  <c r="D11" i="60"/>
  <c r="F61" i="50" l="1"/>
  <c r="D31" i="49"/>
  <c r="K62" i="54" l="1"/>
  <c r="J62" i="54"/>
  <c r="D13" i="52"/>
  <c r="D34" i="52"/>
  <c r="D11" i="51"/>
  <c r="D27" i="48"/>
  <c r="G12" i="53"/>
  <c r="X13" i="67" l="1"/>
  <c r="P14" i="58"/>
  <c r="P16" i="58"/>
  <c r="P20" i="58"/>
  <c r="P21" i="58"/>
  <c r="P18" i="58"/>
  <c r="P19" i="58"/>
  <c r="G18" i="58"/>
  <c r="J22" i="58"/>
  <c r="G22" i="58"/>
  <c r="J21" i="58"/>
  <c r="G21" i="58"/>
  <c r="J20" i="58"/>
  <c r="G20" i="58"/>
  <c r="J19" i="58"/>
  <c r="G19" i="58"/>
  <c r="J18" i="58"/>
  <c r="J17" i="58"/>
  <c r="G17" i="58"/>
  <c r="J16" i="58"/>
  <c r="G16" i="58"/>
  <c r="G15" i="58"/>
  <c r="J14" i="58"/>
  <c r="G14" i="58"/>
  <c r="J13" i="58"/>
  <c r="G13" i="58"/>
  <c r="I13" i="67" l="1"/>
  <c r="D12" i="67" l="1"/>
  <c r="F12" i="67"/>
  <c r="H12" i="67"/>
  <c r="I12" i="67"/>
  <c r="J12" i="67"/>
  <c r="L12" i="67"/>
  <c r="T12" i="67" s="1"/>
  <c r="N12" i="67"/>
  <c r="P12" i="67"/>
  <c r="Q12" i="67"/>
  <c r="R12" i="67"/>
  <c r="G12" i="67"/>
  <c r="O12" i="67"/>
  <c r="T13" i="67"/>
  <c r="Y13" i="67"/>
  <c r="Z13" i="67"/>
  <c r="E14" i="67"/>
  <c r="C14" i="67" s="1"/>
  <c r="M14" i="67"/>
  <c r="T14" i="67"/>
  <c r="W14" i="67"/>
  <c r="X14" i="67"/>
  <c r="Y14" i="67"/>
  <c r="Z14" i="67"/>
  <c r="E15" i="67"/>
  <c r="C15" i="67" s="1"/>
  <c r="M15" i="67"/>
  <c r="K15" i="67" s="1"/>
  <c r="T15" i="67"/>
  <c r="W15" i="67"/>
  <c r="X15" i="67"/>
  <c r="Y15" i="67"/>
  <c r="Z15" i="67"/>
  <c r="E16" i="67"/>
  <c r="K16" i="67"/>
  <c r="T16" i="67"/>
  <c r="X16" i="67"/>
  <c r="Y16" i="67"/>
  <c r="Z16" i="67"/>
  <c r="E17" i="67"/>
  <c r="C17" i="67" s="1"/>
  <c r="M17" i="67"/>
  <c r="T17" i="67"/>
  <c r="X17" i="67"/>
  <c r="Y17" i="67"/>
  <c r="Z17" i="67"/>
  <c r="E18" i="67"/>
  <c r="C18" i="67" s="1"/>
  <c r="M18" i="67"/>
  <c r="T18" i="67"/>
  <c r="X18" i="67"/>
  <c r="Y18" i="67"/>
  <c r="Z18" i="67"/>
  <c r="E19" i="67"/>
  <c r="C19" i="67" s="1"/>
  <c r="M19" i="67"/>
  <c r="K19" i="67" s="1"/>
  <c r="T19" i="67"/>
  <c r="W19" i="67"/>
  <c r="X19" i="67"/>
  <c r="Y19" i="67"/>
  <c r="Z19" i="67"/>
  <c r="E20" i="67"/>
  <c r="M20" i="67"/>
  <c r="K20" i="67" s="1"/>
  <c r="T20" i="67"/>
  <c r="X20" i="67"/>
  <c r="Y20" i="67"/>
  <c r="Z20" i="67"/>
  <c r="K19" i="58"/>
  <c r="G26" i="53"/>
  <c r="Z12" i="67" l="1"/>
  <c r="Y12" i="67"/>
  <c r="U15" i="67"/>
  <c r="X12" i="67"/>
  <c r="S19" i="67"/>
  <c r="S15" i="67"/>
  <c r="W12" i="67"/>
  <c r="K17" i="67"/>
  <c r="S17" i="67" s="1"/>
  <c r="U17" i="67"/>
  <c r="U18" i="67"/>
  <c r="K18" i="67"/>
  <c r="S18" i="67" s="1"/>
  <c r="C16" i="67"/>
  <c r="S16" i="67" s="1"/>
  <c r="U16" i="67"/>
  <c r="C20" i="67"/>
  <c r="S20" i="67" s="1"/>
  <c r="U20" i="67"/>
  <c r="U14" i="67"/>
  <c r="K14" i="67"/>
  <c r="S14" i="67" s="1"/>
  <c r="W20" i="67"/>
  <c r="W16" i="67"/>
  <c r="M13" i="67"/>
  <c r="U19" i="67"/>
  <c r="W18" i="67"/>
  <c r="W17" i="67"/>
  <c r="W13" i="67"/>
  <c r="E13" i="67"/>
  <c r="G25" i="51"/>
  <c r="G38" i="48"/>
  <c r="C13" i="67" l="1"/>
  <c r="K13" i="67"/>
  <c r="U13" i="67"/>
  <c r="D24" i="51"/>
  <c r="S13" i="67" l="1"/>
  <c r="D40" i="52"/>
  <c r="D32" i="52"/>
  <c r="K36" i="54" l="1"/>
  <c r="G43" i="53" l="1"/>
  <c r="K26" i="53"/>
  <c r="J25" i="53"/>
  <c r="J26" i="53"/>
  <c r="D40" i="51"/>
  <c r="D11" i="49"/>
  <c r="C14" i="49" l="1"/>
  <c r="C13" i="49"/>
  <c r="E24" i="51" l="1"/>
  <c r="F25" i="53"/>
  <c r="F26" i="53"/>
  <c r="I26" i="53" s="1"/>
  <c r="K24" i="53" l="1"/>
  <c r="G24" i="53"/>
  <c r="J24" i="53" s="1"/>
  <c r="D74" i="51" l="1"/>
  <c r="C39" i="53" l="1"/>
  <c r="C35" i="53"/>
  <c r="C34" i="53"/>
  <c r="E26" i="51"/>
  <c r="E25" i="51"/>
  <c r="D49" i="52"/>
  <c r="J10" i="54" l="1"/>
  <c r="I63" i="54" l="1"/>
  <c r="P10" i="54"/>
  <c r="D57" i="51"/>
  <c r="K22" i="53"/>
  <c r="H12" i="53"/>
  <c r="D33" i="53" l="1"/>
  <c r="C33" i="53" s="1"/>
  <c r="D36" i="52" l="1"/>
  <c r="D33" i="52"/>
  <c r="D36" i="51"/>
  <c r="D30" i="51" l="1"/>
  <c r="D29" i="51" s="1"/>
  <c r="R136" i="61" l="1"/>
  <c r="U155" i="61" l="1"/>
  <c r="Q155" i="61" s="1"/>
  <c r="O155" i="61" s="1"/>
  <c r="D10" i="51" l="1"/>
  <c r="F35" i="48"/>
  <c r="D18" i="60" l="1"/>
  <c r="D17" i="60"/>
  <c r="D16" i="60"/>
  <c r="D15" i="60"/>
  <c r="D20" i="60"/>
  <c r="C20" i="60"/>
  <c r="D19" i="60"/>
  <c r="C19" i="60"/>
  <c r="C18" i="60"/>
  <c r="C17" i="60"/>
  <c r="C16" i="60"/>
  <c r="C15" i="60"/>
  <c r="C14" i="60"/>
  <c r="C13" i="60"/>
  <c r="C12" i="60"/>
  <c r="E10" i="60" l="1"/>
  <c r="D14" i="60"/>
  <c r="D13" i="60"/>
  <c r="D12" i="60"/>
  <c r="D10" i="60" s="1"/>
  <c r="E22" i="58" l="1"/>
  <c r="E21" i="58"/>
  <c r="E20" i="58"/>
  <c r="E19" i="58"/>
  <c r="E18" i="58"/>
  <c r="E17" i="58"/>
  <c r="E16" i="58"/>
  <c r="E15" i="58"/>
  <c r="E14" i="58"/>
  <c r="E13" i="58"/>
  <c r="H21" i="58"/>
  <c r="F36" i="50" l="1"/>
  <c r="C155" i="61" l="1"/>
  <c r="G11" i="53" l="1"/>
  <c r="H93" i="53"/>
  <c r="H31" i="53"/>
  <c r="H11" i="53" s="1"/>
  <c r="F28" i="53"/>
  <c r="D11" i="53"/>
  <c r="C27" i="53"/>
  <c r="F45" i="52"/>
  <c r="F11" i="53" l="1"/>
  <c r="C43" i="52"/>
  <c r="F44" i="52"/>
  <c r="C49" i="52"/>
  <c r="C33" i="52"/>
  <c r="C36" i="51" l="1"/>
  <c r="F49" i="50"/>
  <c r="F47" i="50"/>
  <c r="F46" i="50"/>
  <c r="E67" i="50"/>
  <c r="D35" i="49" l="1"/>
  <c r="D34" i="49"/>
  <c r="D33" i="49"/>
  <c r="E63" i="54" l="1"/>
  <c r="C64" i="54"/>
  <c r="F9" i="54"/>
  <c r="C66" i="54" l="1"/>
  <c r="E30" i="54"/>
  <c r="E47" i="54"/>
  <c r="E13" i="54"/>
  <c r="E29" i="54" l="1"/>
  <c r="E21" i="54"/>
  <c r="E10" i="54" s="1"/>
  <c r="E9" i="54" s="1"/>
  <c r="C33" i="48" l="1"/>
  <c r="C18" i="48"/>
  <c r="C17" i="48"/>
  <c r="F60" i="50"/>
  <c r="F53" i="50"/>
  <c r="F52" i="50"/>
  <c r="F50" i="50"/>
  <c r="F48" i="50"/>
  <c r="F40" i="50"/>
  <c r="F35" i="50"/>
  <c r="C34" i="49" l="1"/>
  <c r="C25" i="49"/>
  <c r="C11" i="49"/>
  <c r="G67" i="50" l="1"/>
  <c r="G66" i="50"/>
  <c r="G62" i="50"/>
  <c r="H62" i="50"/>
  <c r="G61" i="50"/>
  <c r="H61" i="50"/>
  <c r="H60" i="50"/>
  <c r="G60" i="50"/>
  <c r="F55" i="50"/>
  <c r="H55" i="50" s="1"/>
  <c r="E55" i="50"/>
  <c r="G55" i="50" s="1"/>
  <c r="H54" i="50"/>
  <c r="G54" i="50"/>
  <c r="G53" i="50"/>
  <c r="H53" i="50"/>
  <c r="G52" i="50"/>
  <c r="H52" i="50"/>
  <c r="H51" i="50"/>
  <c r="G51" i="50"/>
  <c r="H50" i="50"/>
  <c r="G50" i="50"/>
  <c r="F45" i="50"/>
  <c r="E45" i="50"/>
  <c r="D45" i="50"/>
  <c r="C45" i="50"/>
  <c r="H44" i="50"/>
  <c r="G44" i="50"/>
  <c r="F41" i="50"/>
  <c r="E41" i="50"/>
  <c r="G41" i="50" s="1"/>
  <c r="D41" i="50"/>
  <c r="H40" i="50"/>
  <c r="G40" i="50"/>
  <c r="F33" i="50"/>
  <c r="E33" i="50"/>
  <c r="D33" i="50"/>
  <c r="C33" i="50"/>
  <c r="F26" i="50"/>
  <c r="E26" i="50"/>
  <c r="D26" i="50"/>
  <c r="C26" i="50"/>
  <c r="F19" i="50"/>
  <c r="E19" i="50"/>
  <c r="D19" i="50"/>
  <c r="C19" i="50"/>
  <c r="F13" i="50"/>
  <c r="E13" i="50"/>
  <c r="D13" i="50"/>
  <c r="C13" i="50"/>
  <c r="C12" i="50" l="1"/>
  <c r="D12" i="50"/>
  <c r="K16" i="50" s="1"/>
  <c r="E12" i="50"/>
  <c r="E11" i="50" s="1"/>
  <c r="F12" i="50"/>
  <c r="J16" i="50" s="1"/>
  <c r="G45" i="50"/>
  <c r="G26" i="50"/>
  <c r="G19" i="50"/>
  <c r="H45" i="50"/>
  <c r="H41" i="50"/>
  <c r="H33" i="50"/>
  <c r="H26" i="50"/>
  <c r="D11" i="50"/>
  <c r="D10" i="50" s="1"/>
  <c r="H19" i="50"/>
  <c r="H13" i="50"/>
  <c r="G33" i="50"/>
  <c r="C11" i="50"/>
  <c r="C10" i="50" s="1"/>
  <c r="G13" i="50"/>
  <c r="L16" i="50" l="1"/>
  <c r="K17" i="50"/>
  <c r="G12" i="50"/>
  <c r="H12" i="50"/>
  <c r="F11" i="50"/>
  <c r="E10" i="50"/>
  <c r="G10" i="50" s="1"/>
  <c r="G11" i="50"/>
  <c r="E23" i="51"/>
  <c r="E22" i="51"/>
  <c r="E13" i="52"/>
  <c r="E50" i="52"/>
  <c r="E49" i="52"/>
  <c r="E48" i="52"/>
  <c r="E45" i="52"/>
  <c r="E46" i="52"/>
  <c r="E44" i="52"/>
  <c r="F32" i="52"/>
  <c r="F33" i="52"/>
  <c r="F34" i="52"/>
  <c r="F35" i="52"/>
  <c r="F36" i="52"/>
  <c r="F37" i="52"/>
  <c r="F38" i="52"/>
  <c r="F39" i="52"/>
  <c r="F40" i="52"/>
  <c r="F41" i="52"/>
  <c r="F42" i="52"/>
  <c r="F43" i="52"/>
  <c r="F31" i="52"/>
  <c r="E32" i="52"/>
  <c r="E33" i="52"/>
  <c r="E34" i="52"/>
  <c r="E35" i="52"/>
  <c r="E36" i="52"/>
  <c r="E37" i="52"/>
  <c r="E38" i="52"/>
  <c r="E39" i="52"/>
  <c r="E40" i="52"/>
  <c r="E41" i="52"/>
  <c r="E42" i="52"/>
  <c r="E43" i="52"/>
  <c r="E31" i="52"/>
  <c r="E20" i="48"/>
  <c r="E21" i="48"/>
  <c r="E22" i="48"/>
  <c r="E23" i="48"/>
  <c r="E24" i="48"/>
  <c r="E19" i="48"/>
  <c r="E37" i="48"/>
  <c r="E36" i="48"/>
  <c r="E47" i="52" l="1"/>
  <c r="E30" i="52"/>
  <c r="E12" i="52" s="1"/>
  <c r="H11" i="50"/>
  <c r="F10" i="50"/>
  <c r="H10" i="50" s="1"/>
  <c r="Z22" i="67"/>
  <c r="Y22" i="67"/>
  <c r="X22" i="67"/>
  <c r="T22" i="67"/>
  <c r="M22" i="67"/>
  <c r="E22" i="67"/>
  <c r="C22" i="67" s="1"/>
  <c r="Z21" i="67"/>
  <c r="Y21" i="67"/>
  <c r="X21" i="67"/>
  <c r="T21" i="67"/>
  <c r="E21" i="67"/>
  <c r="C21" i="67" l="1"/>
  <c r="C12" i="67" s="1"/>
  <c r="E12" i="67"/>
  <c r="W21" i="67"/>
  <c r="U22" i="67"/>
  <c r="K22" i="67"/>
  <c r="S22" i="67" s="1"/>
  <c r="W22" i="67"/>
  <c r="M21" i="67"/>
  <c r="M12" i="67" s="1"/>
  <c r="I33" i="54"/>
  <c r="I34" i="54"/>
  <c r="I35" i="54"/>
  <c r="I36" i="54"/>
  <c r="I37" i="54"/>
  <c r="I38" i="54"/>
  <c r="I39" i="54"/>
  <c r="I40" i="54"/>
  <c r="I41" i="54"/>
  <c r="I42" i="54"/>
  <c r="I43" i="54"/>
  <c r="I45" i="54"/>
  <c r="I46" i="54"/>
  <c r="I47" i="54"/>
  <c r="I48" i="54"/>
  <c r="I49" i="54"/>
  <c r="I50" i="54"/>
  <c r="I51" i="54"/>
  <c r="I52" i="54"/>
  <c r="I53" i="54"/>
  <c r="I54" i="54"/>
  <c r="I55" i="54"/>
  <c r="I56" i="54"/>
  <c r="I57" i="54"/>
  <c r="I58" i="54"/>
  <c r="I59" i="54"/>
  <c r="I60" i="54"/>
  <c r="I17" i="54"/>
  <c r="I18" i="54"/>
  <c r="I20" i="54"/>
  <c r="I21" i="54"/>
  <c r="I23" i="54"/>
  <c r="I25" i="54"/>
  <c r="I26" i="54"/>
  <c r="I32" i="54"/>
  <c r="U12" i="67" l="1"/>
  <c r="U21" i="67"/>
  <c r="K21" i="67"/>
  <c r="I12" i="54"/>
  <c r="I13" i="54"/>
  <c r="I14" i="54"/>
  <c r="I15" i="54"/>
  <c r="C63" i="54"/>
  <c r="N19" i="54"/>
  <c r="I19" i="54" s="1"/>
  <c r="N22" i="54"/>
  <c r="I22" i="54" s="1"/>
  <c r="N24" i="54"/>
  <c r="I24" i="54" s="1"/>
  <c r="N27" i="54"/>
  <c r="I27" i="54" s="1"/>
  <c r="N28" i="54"/>
  <c r="I28" i="54" s="1"/>
  <c r="N29" i="54"/>
  <c r="I29" i="54" s="1"/>
  <c r="N30" i="54"/>
  <c r="I30" i="54" s="1"/>
  <c r="N31" i="54"/>
  <c r="I31" i="54" s="1"/>
  <c r="N44" i="54"/>
  <c r="I44" i="54" s="1"/>
  <c r="N61" i="54"/>
  <c r="I61" i="54" s="1"/>
  <c r="N62" i="54"/>
  <c r="I62" i="54" s="1"/>
  <c r="N16" i="54"/>
  <c r="I16" i="54" s="1"/>
  <c r="I11" i="54"/>
  <c r="C12" i="54"/>
  <c r="C13" i="54"/>
  <c r="C14" i="54"/>
  <c r="C15" i="54"/>
  <c r="C16" i="54"/>
  <c r="C17" i="54"/>
  <c r="C18" i="54"/>
  <c r="C19" i="54"/>
  <c r="C20" i="54"/>
  <c r="C21" i="54"/>
  <c r="C22" i="54"/>
  <c r="C23" i="54"/>
  <c r="C24" i="54"/>
  <c r="C25" i="54"/>
  <c r="C26" i="54"/>
  <c r="C27" i="54"/>
  <c r="C28" i="54"/>
  <c r="C29" i="54"/>
  <c r="C30" i="54"/>
  <c r="C31" i="54"/>
  <c r="C32" i="54"/>
  <c r="C33" i="54"/>
  <c r="C34" i="54"/>
  <c r="C35" i="54"/>
  <c r="C36" i="54"/>
  <c r="C37" i="54"/>
  <c r="C38" i="54"/>
  <c r="C39" i="54"/>
  <c r="C40" i="54"/>
  <c r="C41" i="54"/>
  <c r="C42" i="54"/>
  <c r="C43" i="54"/>
  <c r="C44" i="54"/>
  <c r="C45" i="54"/>
  <c r="C46" i="54"/>
  <c r="C47" i="54"/>
  <c r="C48" i="54"/>
  <c r="C49" i="54"/>
  <c r="C50" i="54"/>
  <c r="C51" i="54"/>
  <c r="C52" i="54"/>
  <c r="C53" i="54"/>
  <c r="C54" i="54"/>
  <c r="C55" i="54"/>
  <c r="C56" i="54"/>
  <c r="C57" i="54"/>
  <c r="C58" i="54"/>
  <c r="C59" i="54"/>
  <c r="C60" i="54"/>
  <c r="C61" i="54"/>
  <c r="C62" i="54"/>
  <c r="C11" i="54"/>
  <c r="S21" i="67" l="1"/>
  <c r="K12" i="67"/>
  <c r="S12" i="67" s="1"/>
  <c r="F10" i="60"/>
  <c r="G10" i="60"/>
  <c r="H10" i="60"/>
  <c r="I10" i="60"/>
  <c r="C10" i="60"/>
  <c r="E32" i="51" l="1"/>
  <c r="E31" i="51"/>
  <c r="F15" i="48" l="1"/>
  <c r="F14" i="48"/>
  <c r="E15" i="48"/>
  <c r="E14" i="48"/>
  <c r="P12" i="58" l="1"/>
  <c r="O12" i="58"/>
  <c r="N12" i="58"/>
  <c r="L12" i="58"/>
  <c r="K12" i="58"/>
  <c r="J12" i="58"/>
  <c r="G12" i="58"/>
  <c r="H12" i="58"/>
  <c r="E11" i="51" l="1"/>
  <c r="M14" i="58" l="1"/>
  <c r="F14" i="58" s="1"/>
  <c r="M15" i="58"/>
  <c r="F15" i="58" s="1"/>
  <c r="M16" i="58"/>
  <c r="F16" i="58" s="1"/>
  <c r="M17" i="58"/>
  <c r="F17" i="58" s="1"/>
  <c r="M18" i="58"/>
  <c r="F18" i="58" s="1"/>
  <c r="M19" i="58"/>
  <c r="F19" i="58" s="1"/>
  <c r="M20" i="58"/>
  <c r="F20" i="58" s="1"/>
  <c r="M21" i="58"/>
  <c r="F21" i="58" s="1"/>
  <c r="M22" i="58"/>
  <c r="F22" i="58" s="1"/>
  <c r="M13" i="58"/>
  <c r="M12" i="58" l="1"/>
  <c r="F13" i="58"/>
  <c r="F12" i="58"/>
  <c r="U170" i="61"/>
  <c r="P170" i="61"/>
  <c r="C170" i="61"/>
  <c r="U169" i="61"/>
  <c r="P169" i="61"/>
  <c r="C169" i="61"/>
  <c r="U168" i="61"/>
  <c r="P168" i="61"/>
  <c r="C168" i="61"/>
  <c r="U167" i="61"/>
  <c r="P167" i="61"/>
  <c r="N167" i="61"/>
  <c r="U166" i="61"/>
  <c r="R166" i="61"/>
  <c r="P166" i="61" s="1"/>
  <c r="C166" i="61"/>
  <c r="U165" i="61"/>
  <c r="R165" i="61"/>
  <c r="P165" i="61" s="1"/>
  <c r="C165" i="61"/>
  <c r="U164" i="61"/>
  <c r="R164" i="61"/>
  <c r="P164" i="61" s="1"/>
  <c r="C164" i="61"/>
  <c r="U163" i="61"/>
  <c r="R163" i="61"/>
  <c r="P163" i="61" s="1"/>
  <c r="C163" i="61"/>
  <c r="U162" i="61"/>
  <c r="R162" i="61"/>
  <c r="P162" i="61" s="1"/>
  <c r="C162" i="61"/>
  <c r="U161" i="61"/>
  <c r="R161" i="61"/>
  <c r="P161" i="61" s="1"/>
  <c r="C161" i="61"/>
  <c r="AF160" i="61"/>
  <c r="AE160" i="61"/>
  <c r="AD160" i="61"/>
  <c r="AC160" i="61"/>
  <c r="AB160" i="61"/>
  <c r="AA160" i="61"/>
  <c r="Z160" i="61"/>
  <c r="Y160" i="61"/>
  <c r="X160" i="61"/>
  <c r="W160" i="61"/>
  <c r="T160" i="61"/>
  <c r="S160" i="61"/>
  <c r="N160" i="61"/>
  <c r="M160" i="61"/>
  <c r="L160" i="61"/>
  <c r="K160" i="61"/>
  <c r="J160" i="61"/>
  <c r="I160" i="61"/>
  <c r="H160" i="61"/>
  <c r="G160" i="61"/>
  <c r="F160" i="61"/>
  <c r="D160" i="61"/>
  <c r="V159" i="61"/>
  <c r="U159" i="61" s="1"/>
  <c r="Q159" i="61" s="1"/>
  <c r="P159" i="61"/>
  <c r="AH159" i="61" s="1"/>
  <c r="E159" i="61"/>
  <c r="C159" i="61" s="1"/>
  <c r="V158" i="61"/>
  <c r="U158" i="61" s="1"/>
  <c r="Q158" i="61" s="1"/>
  <c r="P158" i="61"/>
  <c r="E158" i="61"/>
  <c r="C158" i="61" s="1"/>
  <c r="V157" i="61"/>
  <c r="U157" i="61" s="1"/>
  <c r="Q157" i="61" s="1"/>
  <c r="P157" i="61"/>
  <c r="AH157" i="61" s="1"/>
  <c r="E157" i="61"/>
  <c r="C157" i="61" s="1"/>
  <c r="V156" i="61"/>
  <c r="U156" i="61" s="1"/>
  <c r="Q156" i="61" s="1"/>
  <c r="AI156" i="61" s="1"/>
  <c r="P156" i="61"/>
  <c r="E156" i="61"/>
  <c r="C156" i="61" s="1"/>
  <c r="V154" i="61"/>
  <c r="P154" i="61"/>
  <c r="E154" i="61"/>
  <c r="C154" i="61" s="1"/>
  <c r="AE153" i="61"/>
  <c r="AD153" i="61"/>
  <c r="AC153" i="61"/>
  <c r="AB153" i="61"/>
  <c r="AA153" i="61"/>
  <c r="Z153" i="61"/>
  <c r="Y153" i="61"/>
  <c r="X153" i="61"/>
  <c r="W153" i="61"/>
  <c r="U153" i="61"/>
  <c r="Q153" i="61" s="1"/>
  <c r="P153" i="61"/>
  <c r="N153" i="61"/>
  <c r="M153" i="61"/>
  <c r="L153" i="61"/>
  <c r="K153" i="61"/>
  <c r="J153" i="61"/>
  <c r="I153" i="61"/>
  <c r="H153" i="61"/>
  <c r="G153" i="61"/>
  <c r="F153" i="61"/>
  <c r="V152" i="61"/>
  <c r="U152" i="61" s="1"/>
  <c r="Q152" i="61" s="1"/>
  <c r="P152" i="61"/>
  <c r="E152" i="61"/>
  <c r="C152" i="61" s="1"/>
  <c r="V151" i="61"/>
  <c r="U151" i="61" s="1"/>
  <c r="Q151" i="61" s="1"/>
  <c r="P151" i="61"/>
  <c r="E151" i="61"/>
  <c r="C151" i="61" s="1"/>
  <c r="AE150" i="61"/>
  <c r="AD150" i="61"/>
  <c r="AC150" i="61"/>
  <c r="AB150" i="61"/>
  <c r="AA150" i="61"/>
  <c r="Z150" i="61"/>
  <c r="Y150" i="61"/>
  <c r="X150" i="61"/>
  <c r="W150" i="61"/>
  <c r="P150" i="61"/>
  <c r="N150" i="61"/>
  <c r="M150" i="61"/>
  <c r="L150" i="61"/>
  <c r="K150" i="61"/>
  <c r="J150" i="61"/>
  <c r="I150" i="61"/>
  <c r="H150" i="61"/>
  <c r="G150" i="61"/>
  <c r="F150" i="61"/>
  <c r="U149" i="61"/>
  <c r="Q149" i="61" s="1"/>
  <c r="O149" i="61" s="1"/>
  <c r="P149" i="61"/>
  <c r="C149" i="61"/>
  <c r="V148" i="61"/>
  <c r="U148" i="61"/>
  <c r="Q148" i="61" s="1"/>
  <c r="P148" i="61"/>
  <c r="E148" i="61"/>
  <c r="C148" i="61" s="1"/>
  <c r="V147" i="61"/>
  <c r="U147" i="61" s="1"/>
  <c r="Q147" i="61" s="1"/>
  <c r="P147" i="61"/>
  <c r="E147" i="61"/>
  <c r="C147" i="61" s="1"/>
  <c r="V146" i="61"/>
  <c r="U146" i="61" s="1"/>
  <c r="Q146" i="61" s="1"/>
  <c r="P146" i="61"/>
  <c r="E146" i="61"/>
  <c r="C146" i="61" s="1"/>
  <c r="V145" i="61"/>
  <c r="U145" i="61" s="1"/>
  <c r="Q145" i="61" s="1"/>
  <c r="P145" i="61"/>
  <c r="E145" i="61"/>
  <c r="C145" i="61" s="1"/>
  <c r="AE144" i="61"/>
  <c r="AD144" i="61"/>
  <c r="AC144" i="61"/>
  <c r="AB144" i="61"/>
  <c r="AA144" i="61"/>
  <c r="Z144" i="61"/>
  <c r="Y144" i="61"/>
  <c r="X144" i="61"/>
  <c r="W144" i="61"/>
  <c r="P144" i="61"/>
  <c r="N144" i="61"/>
  <c r="M144" i="61"/>
  <c r="L144" i="61"/>
  <c r="K144" i="61"/>
  <c r="J144" i="61"/>
  <c r="I144" i="61"/>
  <c r="H144" i="61"/>
  <c r="G144" i="61"/>
  <c r="F144" i="61"/>
  <c r="V143" i="61"/>
  <c r="U143" i="61" s="1"/>
  <c r="Q143" i="61" s="1"/>
  <c r="P143" i="61"/>
  <c r="E143" i="61"/>
  <c r="C143" i="61" s="1"/>
  <c r="AE142" i="61"/>
  <c r="AD142" i="61"/>
  <c r="AC142" i="61"/>
  <c r="AB142" i="61"/>
  <c r="AA142" i="61"/>
  <c r="Z142" i="61"/>
  <c r="Y142" i="61"/>
  <c r="X142" i="61"/>
  <c r="W142" i="61"/>
  <c r="U142" i="61"/>
  <c r="Q142" i="61" s="1"/>
  <c r="P142" i="61"/>
  <c r="N142" i="61"/>
  <c r="M142" i="61"/>
  <c r="L142" i="61"/>
  <c r="K142" i="61"/>
  <c r="J142" i="61"/>
  <c r="I142" i="61"/>
  <c r="H142" i="61"/>
  <c r="G142" i="61"/>
  <c r="F142" i="61"/>
  <c r="V141" i="61"/>
  <c r="U141" i="61" s="1"/>
  <c r="Q141" i="61" s="1"/>
  <c r="P141" i="61"/>
  <c r="E141" i="61"/>
  <c r="C141" i="61" s="1"/>
  <c r="AE140" i="61"/>
  <c r="AD140" i="61"/>
  <c r="AC140" i="61"/>
  <c r="AB140" i="61"/>
  <c r="AA140" i="61"/>
  <c r="Z140" i="61"/>
  <c r="Y140" i="61"/>
  <c r="X140" i="61"/>
  <c r="W140" i="61"/>
  <c r="V140" i="61"/>
  <c r="U140" i="61" s="1"/>
  <c r="Q140" i="61" s="1"/>
  <c r="P140" i="61"/>
  <c r="N140" i="61"/>
  <c r="M140" i="61"/>
  <c r="L140" i="61"/>
  <c r="K140" i="61"/>
  <c r="J140" i="61"/>
  <c r="I140" i="61"/>
  <c r="H140" i="61"/>
  <c r="G140" i="61"/>
  <c r="F140" i="61"/>
  <c r="V139" i="61"/>
  <c r="U139" i="61" s="1"/>
  <c r="Q139" i="61" s="1"/>
  <c r="P139" i="61"/>
  <c r="E139" i="61"/>
  <c r="C139" i="61" s="1"/>
  <c r="V138" i="61"/>
  <c r="U138" i="61" s="1"/>
  <c r="Q138" i="61" s="1"/>
  <c r="P138" i="61"/>
  <c r="E138" i="61"/>
  <c r="C138" i="61" s="1"/>
  <c r="V137" i="61"/>
  <c r="U137" i="61" s="1"/>
  <c r="Q137" i="61" s="1"/>
  <c r="P137" i="61"/>
  <c r="E137" i="61"/>
  <c r="C137" i="61" s="1"/>
  <c r="AE136" i="61"/>
  <c r="AD136" i="61"/>
  <c r="AC136" i="61"/>
  <c r="AB136" i="61"/>
  <c r="AA136" i="61"/>
  <c r="Z136" i="61"/>
  <c r="Y136" i="61"/>
  <c r="X136" i="61"/>
  <c r="W136" i="61"/>
  <c r="P136" i="61"/>
  <c r="N136" i="61"/>
  <c r="N13" i="61" s="1"/>
  <c r="M136" i="61"/>
  <c r="L136" i="61"/>
  <c r="K136" i="61"/>
  <c r="J136" i="61"/>
  <c r="I136" i="61"/>
  <c r="H136" i="61"/>
  <c r="G136" i="61"/>
  <c r="F136" i="61"/>
  <c r="C136" i="61"/>
  <c r="V135" i="61"/>
  <c r="U135" i="61" s="1"/>
  <c r="Q135" i="61" s="1"/>
  <c r="P135" i="61"/>
  <c r="E135" i="61"/>
  <c r="C135" i="61" s="1"/>
  <c r="V134" i="61"/>
  <c r="U134" i="61" s="1"/>
  <c r="Q134" i="61" s="1"/>
  <c r="P134" i="61"/>
  <c r="E134" i="61"/>
  <c r="C134" i="61" s="1"/>
  <c r="V133" i="61"/>
  <c r="U133" i="61" s="1"/>
  <c r="Q133" i="61" s="1"/>
  <c r="O133" i="61" s="1"/>
  <c r="P133" i="61"/>
  <c r="E133" i="61"/>
  <c r="C133" i="61" s="1"/>
  <c r="AE132" i="61"/>
  <c r="AD132" i="61"/>
  <c r="AC132" i="61"/>
  <c r="AB132" i="61"/>
  <c r="AA132" i="61"/>
  <c r="Z132" i="61"/>
  <c r="Y132" i="61"/>
  <c r="X132" i="61"/>
  <c r="W132" i="61"/>
  <c r="U132" i="61"/>
  <c r="Q132" i="61" s="1"/>
  <c r="O132" i="61" s="1"/>
  <c r="P132" i="61"/>
  <c r="N132" i="61"/>
  <c r="M132" i="61"/>
  <c r="L132" i="61"/>
  <c r="K132" i="61"/>
  <c r="J132" i="61"/>
  <c r="I132" i="61"/>
  <c r="H132" i="61"/>
  <c r="G132" i="61"/>
  <c r="F132" i="61"/>
  <c r="V131" i="61"/>
  <c r="U131" i="61" s="1"/>
  <c r="Q131" i="61" s="1"/>
  <c r="P131" i="61"/>
  <c r="E131" i="61"/>
  <c r="C131" i="61" s="1"/>
  <c r="V130" i="61"/>
  <c r="U130" i="61" s="1"/>
  <c r="Q130" i="61" s="1"/>
  <c r="P130" i="61"/>
  <c r="E130" i="61"/>
  <c r="C130" i="61" s="1"/>
  <c r="V129" i="61"/>
  <c r="U129" i="61" s="1"/>
  <c r="Q129" i="61" s="1"/>
  <c r="P129" i="61"/>
  <c r="E129" i="61"/>
  <c r="C129" i="61" s="1"/>
  <c r="V128" i="61"/>
  <c r="U128" i="61" s="1"/>
  <c r="Q128" i="61" s="1"/>
  <c r="P128" i="61"/>
  <c r="E128" i="61"/>
  <c r="C128" i="61" s="1"/>
  <c r="V127" i="61"/>
  <c r="P127" i="61"/>
  <c r="E127" i="61"/>
  <c r="C127" i="61" s="1"/>
  <c r="V126" i="61"/>
  <c r="U126" i="61" s="1"/>
  <c r="Q126" i="61" s="1"/>
  <c r="P126" i="61"/>
  <c r="E126" i="61"/>
  <c r="C126" i="61" s="1"/>
  <c r="V125" i="61"/>
  <c r="U125" i="61" s="1"/>
  <c r="Q125" i="61" s="1"/>
  <c r="P125" i="61"/>
  <c r="E125" i="61"/>
  <c r="C125" i="61" s="1"/>
  <c r="AE124" i="61"/>
  <c r="AD124" i="61"/>
  <c r="AC124" i="61"/>
  <c r="AB124" i="61"/>
  <c r="AA124" i="61"/>
  <c r="Z124" i="61"/>
  <c r="Y124" i="61"/>
  <c r="X124" i="61"/>
  <c r="W124" i="61"/>
  <c r="P124" i="61"/>
  <c r="N124" i="61"/>
  <c r="M124" i="61"/>
  <c r="L124" i="61"/>
  <c r="K124" i="61"/>
  <c r="J124" i="61"/>
  <c r="I124" i="61"/>
  <c r="H124" i="61"/>
  <c r="G124" i="61"/>
  <c r="F124" i="61"/>
  <c r="V123" i="61"/>
  <c r="U123" i="61" s="1"/>
  <c r="Q123" i="61" s="1"/>
  <c r="P123" i="61"/>
  <c r="E123" i="61"/>
  <c r="C123" i="61" s="1"/>
  <c r="V122" i="61"/>
  <c r="U122" i="61" s="1"/>
  <c r="Q122" i="61" s="1"/>
  <c r="P122" i="61"/>
  <c r="E122" i="61"/>
  <c r="C122" i="61" s="1"/>
  <c r="V121" i="61"/>
  <c r="U121" i="61" s="1"/>
  <c r="Q121" i="61" s="1"/>
  <c r="P121" i="61"/>
  <c r="E121" i="61"/>
  <c r="C121" i="61" s="1"/>
  <c r="V120" i="61"/>
  <c r="U120" i="61" s="1"/>
  <c r="Q120" i="61" s="1"/>
  <c r="P120" i="61"/>
  <c r="E120" i="61"/>
  <c r="C120" i="61" s="1"/>
  <c r="V119" i="61"/>
  <c r="U119" i="61" s="1"/>
  <c r="Q119" i="61" s="1"/>
  <c r="P119" i="61"/>
  <c r="E119" i="61"/>
  <c r="C119" i="61" s="1"/>
  <c r="V118" i="61"/>
  <c r="U118" i="61" s="1"/>
  <c r="Q118" i="61" s="1"/>
  <c r="P118" i="61"/>
  <c r="E118" i="61"/>
  <c r="C118" i="61" s="1"/>
  <c r="V117" i="61"/>
  <c r="U117" i="61" s="1"/>
  <c r="Q117" i="61" s="1"/>
  <c r="P117" i="61"/>
  <c r="E117" i="61"/>
  <c r="C117" i="61" s="1"/>
  <c r="V116" i="61"/>
  <c r="U116" i="61" s="1"/>
  <c r="Q116" i="61" s="1"/>
  <c r="P116" i="61"/>
  <c r="E116" i="61"/>
  <c r="C116" i="61" s="1"/>
  <c r="V115" i="61"/>
  <c r="U115" i="61" s="1"/>
  <c r="Q115" i="61" s="1"/>
  <c r="P115" i="61"/>
  <c r="E115" i="61"/>
  <c r="C115" i="61" s="1"/>
  <c r="V114" i="61"/>
  <c r="U114" i="61" s="1"/>
  <c r="Q114" i="61" s="1"/>
  <c r="P114" i="61"/>
  <c r="E114" i="61"/>
  <c r="C114" i="61" s="1"/>
  <c r="V113" i="61"/>
  <c r="U113" i="61" s="1"/>
  <c r="Q113" i="61" s="1"/>
  <c r="P113" i="61"/>
  <c r="E113" i="61"/>
  <c r="C113" i="61" s="1"/>
  <c r="V112" i="61"/>
  <c r="U112" i="61" s="1"/>
  <c r="Q112" i="61" s="1"/>
  <c r="P112" i="61"/>
  <c r="E112" i="61"/>
  <c r="C112" i="61" s="1"/>
  <c r="V111" i="61"/>
  <c r="U111" i="61" s="1"/>
  <c r="Q111" i="61" s="1"/>
  <c r="P111" i="61"/>
  <c r="E111" i="61"/>
  <c r="C111" i="61" s="1"/>
  <c r="V110" i="61"/>
  <c r="U110" i="61" s="1"/>
  <c r="Q110" i="61" s="1"/>
  <c r="P110" i="61"/>
  <c r="E110" i="61"/>
  <c r="C110" i="61" s="1"/>
  <c r="V109" i="61"/>
  <c r="U109" i="61" s="1"/>
  <c r="Q109" i="61" s="1"/>
  <c r="O109" i="61" s="1"/>
  <c r="P109" i="61"/>
  <c r="E109" i="61"/>
  <c r="C109" i="61" s="1"/>
  <c r="V108" i="61"/>
  <c r="U108" i="61" s="1"/>
  <c r="Q108" i="61" s="1"/>
  <c r="P108" i="61"/>
  <c r="E108" i="61"/>
  <c r="C108" i="61" s="1"/>
  <c r="V107" i="61"/>
  <c r="U107" i="61" s="1"/>
  <c r="Q107" i="61" s="1"/>
  <c r="P107" i="61"/>
  <c r="E107" i="61"/>
  <c r="C107" i="61" s="1"/>
  <c r="V106" i="61"/>
  <c r="U106" i="61" s="1"/>
  <c r="Q106" i="61" s="1"/>
  <c r="P106" i="61"/>
  <c r="E106" i="61"/>
  <c r="C106" i="61" s="1"/>
  <c r="V105" i="61"/>
  <c r="U105" i="61" s="1"/>
  <c r="Q105" i="61" s="1"/>
  <c r="O105" i="61" s="1"/>
  <c r="P105" i="61"/>
  <c r="E105" i="61"/>
  <c r="C105" i="61" s="1"/>
  <c r="V104" i="61"/>
  <c r="U104" i="61" s="1"/>
  <c r="Q104" i="61" s="1"/>
  <c r="P104" i="61"/>
  <c r="E104" i="61"/>
  <c r="C104" i="61" s="1"/>
  <c r="V103" i="61"/>
  <c r="U103" i="61" s="1"/>
  <c r="Q103" i="61" s="1"/>
  <c r="P103" i="61"/>
  <c r="E103" i="61"/>
  <c r="C103" i="61" s="1"/>
  <c r="V102" i="61"/>
  <c r="U102" i="61" s="1"/>
  <c r="Q102" i="61" s="1"/>
  <c r="P102" i="61"/>
  <c r="E102" i="61"/>
  <c r="C102" i="61" s="1"/>
  <c r="V101" i="61"/>
  <c r="U101" i="61" s="1"/>
  <c r="Q101" i="61" s="1"/>
  <c r="O101" i="61" s="1"/>
  <c r="P101" i="61"/>
  <c r="E101" i="61"/>
  <c r="C101" i="61" s="1"/>
  <c r="V100" i="61"/>
  <c r="U100" i="61" s="1"/>
  <c r="Q100" i="61" s="1"/>
  <c r="P100" i="61"/>
  <c r="E100" i="61"/>
  <c r="C100" i="61" s="1"/>
  <c r="V99" i="61"/>
  <c r="U99" i="61" s="1"/>
  <c r="Q99" i="61" s="1"/>
  <c r="P99" i="61"/>
  <c r="E99" i="61"/>
  <c r="C99" i="61" s="1"/>
  <c r="V98" i="61"/>
  <c r="U98" i="61" s="1"/>
  <c r="Q98" i="61" s="1"/>
  <c r="P98" i="61"/>
  <c r="E98" i="61"/>
  <c r="C98" i="61" s="1"/>
  <c r="V97" i="61"/>
  <c r="U97" i="61" s="1"/>
  <c r="Q97" i="61" s="1"/>
  <c r="O97" i="61" s="1"/>
  <c r="P97" i="61"/>
  <c r="E97" i="61"/>
  <c r="C97" i="61" s="1"/>
  <c r="V96" i="61"/>
  <c r="U96" i="61" s="1"/>
  <c r="Q96" i="61" s="1"/>
  <c r="P96" i="61"/>
  <c r="E96" i="61"/>
  <c r="C96" i="61" s="1"/>
  <c r="AE95" i="61"/>
  <c r="AD95" i="61"/>
  <c r="AC95" i="61"/>
  <c r="AB95" i="61"/>
  <c r="AA95" i="61"/>
  <c r="Z95" i="61"/>
  <c r="Y95" i="61"/>
  <c r="X95" i="61"/>
  <c r="W95" i="61"/>
  <c r="P95" i="61"/>
  <c r="N95" i="61"/>
  <c r="M95" i="61"/>
  <c r="L95" i="61"/>
  <c r="K95" i="61"/>
  <c r="J95" i="61"/>
  <c r="I95" i="61"/>
  <c r="H95" i="61"/>
  <c r="G95" i="61"/>
  <c r="F95" i="61"/>
  <c r="V94" i="61"/>
  <c r="U94" i="61" s="1"/>
  <c r="Q94" i="61" s="1"/>
  <c r="P94" i="61"/>
  <c r="E94" i="61"/>
  <c r="C94" i="61" s="1"/>
  <c r="V93" i="61"/>
  <c r="U93" i="61" s="1"/>
  <c r="Q93" i="61" s="1"/>
  <c r="P93" i="61"/>
  <c r="E93" i="61"/>
  <c r="C93" i="61" s="1"/>
  <c r="V92" i="61"/>
  <c r="U92" i="61" s="1"/>
  <c r="Q92" i="61" s="1"/>
  <c r="P92" i="61"/>
  <c r="E92" i="61"/>
  <c r="C92" i="61" s="1"/>
  <c r="V91" i="61"/>
  <c r="U91" i="61" s="1"/>
  <c r="Q91" i="61" s="1"/>
  <c r="P91" i="61"/>
  <c r="E91" i="61"/>
  <c r="V90" i="61"/>
  <c r="P90" i="61"/>
  <c r="E90" i="61"/>
  <c r="C90" i="61" s="1"/>
  <c r="V89" i="61"/>
  <c r="U89" i="61" s="1"/>
  <c r="Q89" i="61" s="1"/>
  <c r="P89" i="61"/>
  <c r="E89" i="61"/>
  <c r="C89" i="61" s="1"/>
  <c r="AE88" i="61"/>
  <c r="AD88" i="61"/>
  <c r="AC88" i="61"/>
  <c r="AB88" i="61"/>
  <c r="AA88" i="61"/>
  <c r="Z88" i="61"/>
  <c r="Y88" i="61"/>
  <c r="X88" i="61"/>
  <c r="W88" i="61"/>
  <c r="P88" i="61"/>
  <c r="N88" i="61"/>
  <c r="M88" i="61"/>
  <c r="L88" i="61"/>
  <c r="K88" i="61"/>
  <c r="J88" i="61"/>
  <c r="I88" i="61"/>
  <c r="H88" i="61"/>
  <c r="G88" i="61"/>
  <c r="F88" i="61"/>
  <c r="V87" i="61"/>
  <c r="U87" i="61" s="1"/>
  <c r="Q87" i="61" s="1"/>
  <c r="P87" i="61"/>
  <c r="E87" i="61"/>
  <c r="C87" i="61" s="1"/>
  <c r="V86" i="61"/>
  <c r="P86" i="61"/>
  <c r="E86" i="61"/>
  <c r="C86" i="61" s="1"/>
  <c r="V85" i="61"/>
  <c r="U85" i="61" s="1"/>
  <c r="Q85" i="61" s="1"/>
  <c r="P85" i="61"/>
  <c r="E85" i="61"/>
  <c r="C85" i="61" s="1"/>
  <c r="AE84" i="61"/>
  <c r="AD84" i="61"/>
  <c r="AC84" i="61"/>
  <c r="AB84" i="61"/>
  <c r="AA84" i="61"/>
  <c r="Z84" i="61"/>
  <c r="Y84" i="61"/>
  <c r="X84" i="61"/>
  <c r="W84" i="61"/>
  <c r="P84" i="61"/>
  <c r="N84" i="61"/>
  <c r="M84" i="61"/>
  <c r="L84" i="61"/>
  <c r="K84" i="61"/>
  <c r="J84" i="61"/>
  <c r="I84" i="61"/>
  <c r="H84" i="61"/>
  <c r="G84" i="61"/>
  <c r="F84" i="61"/>
  <c r="V83" i="61"/>
  <c r="P83" i="61"/>
  <c r="E83" i="61"/>
  <c r="C83" i="61" s="1"/>
  <c r="V82" i="61"/>
  <c r="U82" i="61" s="1"/>
  <c r="Q82" i="61" s="1"/>
  <c r="P82" i="61"/>
  <c r="E82" i="61"/>
  <c r="AE81" i="61"/>
  <c r="AD81" i="61"/>
  <c r="AC81" i="61"/>
  <c r="AB81" i="61"/>
  <c r="AA81" i="61"/>
  <c r="Z81" i="61"/>
  <c r="Y81" i="61"/>
  <c r="X81" i="61"/>
  <c r="W81" i="61"/>
  <c r="P81" i="61"/>
  <c r="N81" i="61"/>
  <c r="M81" i="61"/>
  <c r="L81" i="61"/>
  <c r="K81" i="61"/>
  <c r="J81" i="61"/>
  <c r="I81" i="61"/>
  <c r="H81" i="61"/>
  <c r="G81" i="61"/>
  <c r="F81" i="61"/>
  <c r="V80" i="61"/>
  <c r="U80" i="61" s="1"/>
  <c r="Q80" i="61" s="1"/>
  <c r="P80" i="61"/>
  <c r="E80" i="61"/>
  <c r="C80" i="61" s="1"/>
  <c r="AE79" i="61"/>
  <c r="AD79" i="61"/>
  <c r="AC79" i="61"/>
  <c r="AB79" i="61"/>
  <c r="AA79" i="61"/>
  <c r="Z79" i="61"/>
  <c r="Y79" i="61"/>
  <c r="X79" i="61"/>
  <c r="W79" i="61"/>
  <c r="P79" i="61"/>
  <c r="N79" i="61"/>
  <c r="M79" i="61"/>
  <c r="L79" i="61"/>
  <c r="K79" i="61"/>
  <c r="J79" i="61"/>
  <c r="I79" i="61"/>
  <c r="H79" i="61"/>
  <c r="G79" i="61"/>
  <c r="F79" i="61"/>
  <c r="V78" i="61"/>
  <c r="U78" i="61" s="1"/>
  <c r="Q78" i="61" s="1"/>
  <c r="P78" i="61"/>
  <c r="E78" i="61"/>
  <c r="C78" i="61" s="1"/>
  <c r="V77" i="61"/>
  <c r="U77" i="61" s="1"/>
  <c r="Q77" i="61" s="1"/>
  <c r="P77" i="61"/>
  <c r="E77" i="61"/>
  <c r="C77" i="61" s="1"/>
  <c r="V76" i="61"/>
  <c r="U76" i="61" s="1"/>
  <c r="Q76" i="61" s="1"/>
  <c r="P76" i="61"/>
  <c r="E76" i="61"/>
  <c r="C76" i="61" s="1"/>
  <c r="AE75" i="61"/>
  <c r="AD75" i="61"/>
  <c r="AC75" i="61"/>
  <c r="AB75" i="61"/>
  <c r="AA75" i="61"/>
  <c r="Z75" i="61"/>
  <c r="Y75" i="61"/>
  <c r="X75" i="61"/>
  <c r="W75" i="61"/>
  <c r="P75" i="61"/>
  <c r="N75" i="61"/>
  <c r="M75" i="61"/>
  <c r="L75" i="61"/>
  <c r="K75" i="61"/>
  <c r="J75" i="61"/>
  <c r="I75" i="61"/>
  <c r="H75" i="61"/>
  <c r="G75" i="61"/>
  <c r="F75" i="61"/>
  <c r="V74" i="61"/>
  <c r="U74" i="61" s="1"/>
  <c r="Q74" i="61" s="1"/>
  <c r="P74" i="61"/>
  <c r="E74" i="61"/>
  <c r="C74" i="61" s="1"/>
  <c r="V73" i="61"/>
  <c r="U73" i="61" s="1"/>
  <c r="Q73" i="61" s="1"/>
  <c r="P73" i="61"/>
  <c r="E73" i="61"/>
  <c r="C73" i="61" s="1"/>
  <c r="V72" i="61"/>
  <c r="U72" i="61" s="1"/>
  <c r="Q72" i="61" s="1"/>
  <c r="P72" i="61"/>
  <c r="E72" i="61"/>
  <c r="C72" i="61" s="1"/>
  <c r="AE71" i="61"/>
  <c r="AD71" i="61"/>
  <c r="AC71" i="61"/>
  <c r="AB71" i="61"/>
  <c r="AA71" i="61"/>
  <c r="Z71" i="61"/>
  <c r="Y71" i="61"/>
  <c r="X71" i="61"/>
  <c r="W71" i="61"/>
  <c r="P71" i="61"/>
  <c r="N71" i="61"/>
  <c r="M71" i="61"/>
  <c r="L71" i="61"/>
  <c r="K71" i="61"/>
  <c r="J71" i="61"/>
  <c r="I71" i="61"/>
  <c r="H71" i="61"/>
  <c r="G71" i="61"/>
  <c r="F71" i="61"/>
  <c r="V70" i="61"/>
  <c r="U70" i="61" s="1"/>
  <c r="Q70" i="61" s="1"/>
  <c r="P70" i="61"/>
  <c r="E70" i="61"/>
  <c r="C70" i="61" s="1"/>
  <c r="V69" i="61"/>
  <c r="U69" i="61" s="1"/>
  <c r="Q69" i="61" s="1"/>
  <c r="P69" i="61"/>
  <c r="E69" i="61"/>
  <c r="C69" i="61" s="1"/>
  <c r="AE68" i="61"/>
  <c r="AD68" i="61"/>
  <c r="AC68" i="61"/>
  <c r="AB68" i="61"/>
  <c r="AA68" i="61"/>
  <c r="Z68" i="61"/>
  <c r="Y68" i="61"/>
  <c r="X68" i="61"/>
  <c r="W68" i="61"/>
  <c r="P68" i="61"/>
  <c r="N68" i="61"/>
  <c r="M68" i="61"/>
  <c r="L68" i="61"/>
  <c r="K68" i="61"/>
  <c r="J68" i="61"/>
  <c r="I68" i="61"/>
  <c r="H68" i="61"/>
  <c r="G68" i="61"/>
  <c r="F68" i="61"/>
  <c r="V67" i="61"/>
  <c r="U67" i="61" s="1"/>
  <c r="Q67" i="61" s="1"/>
  <c r="P67" i="61"/>
  <c r="E67" i="61"/>
  <c r="C67" i="61" s="1"/>
  <c r="V66" i="61"/>
  <c r="U66" i="61" s="1"/>
  <c r="Q66" i="61" s="1"/>
  <c r="P66" i="61"/>
  <c r="E66" i="61"/>
  <c r="C66" i="61" s="1"/>
  <c r="V65" i="61"/>
  <c r="U65" i="61" s="1"/>
  <c r="Q65" i="61" s="1"/>
  <c r="P65" i="61"/>
  <c r="E65" i="61"/>
  <c r="C65" i="61" s="1"/>
  <c r="U64" i="61"/>
  <c r="Q64" i="61" s="1"/>
  <c r="P64" i="61"/>
  <c r="E64" i="61"/>
  <c r="C64" i="61" s="1"/>
  <c r="V63" i="61"/>
  <c r="U63" i="61" s="1"/>
  <c r="Q63" i="61" s="1"/>
  <c r="P63" i="61"/>
  <c r="E63" i="61"/>
  <c r="C63" i="61" s="1"/>
  <c r="V62" i="61"/>
  <c r="U62" i="61" s="1"/>
  <c r="Q62" i="61" s="1"/>
  <c r="P62" i="61"/>
  <c r="E62" i="61"/>
  <c r="C62" i="61" s="1"/>
  <c r="V61" i="61"/>
  <c r="U61" i="61" s="1"/>
  <c r="Q61" i="61" s="1"/>
  <c r="P61" i="61"/>
  <c r="E61" i="61"/>
  <c r="C61" i="61" s="1"/>
  <c r="V60" i="61"/>
  <c r="U60" i="61" s="1"/>
  <c r="Q60" i="61" s="1"/>
  <c r="P60" i="61"/>
  <c r="E60" i="61"/>
  <c r="C60" i="61" s="1"/>
  <c r="V59" i="61"/>
  <c r="U59" i="61" s="1"/>
  <c r="Q59" i="61" s="1"/>
  <c r="P59" i="61"/>
  <c r="E59" i="61"/>
  <c r="C59" i="61" s="1"/>
  <c r="V58" i="61"/>
  <c r="U58" i="61" s="1"/>
  <c r="Q58" i="61" s="1"/>
  <c r="P58" i="61"/>
  <c r="E58" i="61"/>
  <c r="C58" i="61" s="1"/>
  <c r="V57" i="61"/>
  <c r="U57" i="61" s="1"/>
  <c r="Q57" i="61" s="1"/>
  <c r="O57" i="61" s="1"/>
  <c r="P57" i="61"/>
  <c r="E57" i="61"/>
  <c r="C57" i="61" s="1"/>
  <c r="V56" i="61"/>
  <c r="U56" i="61" s="1"/>
  <c r="Q56" i="61" s="1"/>
  <c r="P56" i="61"/>
  <c r="E56" i="61"/>
  <c r="C56" i="61" s="1"/>
  <c r="V55" i="61"/>
  <c r="U55" i="61" s="1"/>
  <c r="Q55" i="61" s="1"/>
  <c r="P55" i="61"/>
  <c r="E55" i="61"/>
  <c r="C55" i="61" s="1"/>
  <c r="V54" i="61"/>
  <c r="U54" i="61" s="1"/>
  <c r="Q54" i="61" s="1"/>
  <c r="P54" i="61"/>
  <c r="E54" i="61"/>
  <c r="C54" i="61" s="1"/>
  <c r="V53" i="61"/>
  <c r="U53" i="61" s="1"/>
  <c r="Q53" i="61" s="1"/>
  <c r="P53" i="61"/>
  <c r="E53" i="61"/>
  <c r="C53" i="61" s="1"/>
  <c r="V52" i="61"/>
  <c r="U52" i="61" s="1"/>
  <c r="Q52" i="61" s="1"/>
  <c r="P52" i="61"/>
  <c r="E52" i="61"/>
  <c r="C52" i="61" s="1"/>
  <c r="V51" i="61"/>
  <c r="U51" i="61" s="1"/>
  <c r="Q51" i="61" s="1"/>
  <c r="P51" i="61"/>
  <c r="E51" i="61"/>
  <c r="C51" i="61" s="1"/>
  <c r="V50" i="61"/>
  <c r="U50" i="61" s="1"/>
  <c r="Q50" i="61" s="1"/>
  <c r="P50" i="61"/>
  <c r="E50" i="61"/>
  <c r="C50" i="61" s="1"/>
  <c r="V49" i="61"/>
  <c r="U49" i="61" s="1"/>
  <c r="Q49" i="61" s="1"/>
  <c r="P49" i="61"/>
  <c r="E49" i="61"/>
  <c r="C49" i="61" s="1"/>
  <c r="V48" i="61"/>
  <c r="U48" i="61" s="1"/>
  <c r="Q48" i="61" s="1"/>
  <c r="P48" i="61"/>
  <c r="E48" i="61"/>
  <c r="C48" i="61" s="1"/>
  <c r="V47" i="61"/>
  <c r="U47" i="61" s="1"/>
  <c r="Q47" i="61" s="1"/>
  <c r="P47" i="61"/>
  <c r="E47" i="61"/>
  <c r="C47" i="61" s="1"/>
  <c r="V46" i="61"/>
  <c r="U46" i="61" s="1"/>
  <c r="Q46" i="61" s="1"/>
  <c r="P46" i="61"/>
  <c r="E46" i="61"/>
  <c r="C46" i="61" s="1"/>
  <c r="V45" i="61"/>
  <c r="U45" i="61" s="1"/>
  <c r="Q45" i="61" s="1"/>
  <c r="P45" i="61"/>
  <c r="E45" i="61"/>
  <c r="C45" i="61" s="1"/>
  <c r="V44" i="61"/>
  <c r="U44" i="61" s="1"/>
  <c r="Q44" i="61" s="1"/>
  <c r="P44" i="61"/>
  <c r="E44" i="61"/>
  <c r="C44" i="61" s="1"/>
  <c r="V43" i="61"/>
  <c r="U43" i="61" s="1"/>
  <c r="Q43" i="61" s="1"/>
  <c r="P43" i="61"/>
  <c r="E43" i="61"/>
  <c r="C43" i="61" s="1"/>
  <c r="V42" i="61"/>
  <c r="U42" i="61" s="1"/>
  <c r="Q42" i="61" s="1"/>
  <c r="P42" i="61"/>
  <c r="E42" i="61"/>
  <c r="C42" i="61" s="1"/>
  <c r="V41" i="61"/>
  <c r="U41" i="61" s="1"/>
  <c r="Q41" i="61" s="1"/>
  <c r="P41" i="61"/>
  <c r="E41" i="61"/>
  <c r="C41" i="61" s="1"/>
  <c r="V40" i="61"/>
  <c r="U40" i="61" s="1"/>
  <c r="Q40" i="61" s="1"/>
  <c r="P40" i="61"/>
  <c r="E40" i="61"/>
  <c r="C40" i="61" s="1"/>
  <c r="V39" i="61"/>
  <c r="U39" i="61" s="1"/>
  <c r="Q39" i="61" s="1"/>
  <c r="P39" i="61"/>
  <c r="E39" i="61"/>
  <c r="C39" i="61" s="1"/>
  <c r="V38" i="61"/>
  <c r="U38" i="61" s="1"/>
  <c r="Q38" i="61" s="1"/>
  <c r="P38" i="61"/>
  <c r="E38" i="61"/>
  <c r="C38" i="61" s="1"/>
  <c r="V37" i="61"/>
  <c r="U37" i="61" s="1"/>
  <c r="Q37" i="61" s="1"/>
  <c r="P37" i="61"/>
  <c r="E37" i="61"/>
  <c r="C37" i="61" s="1"/>
  <c r="V36" i="61"/>
  <c r="U36" i="61" s="1"/>
  <c r="Q36" i="61" s="1"/>
  <c r="P36" i="61"/>
  <c r="E36" i="61"/>
  <c r="C36" i="61" s="1"/>
  <c r="V35" i="61"/>
  <c r="U35" i="61" s="1"/>
  <c r="Q35" i="61" s="1"/>
  <c r="P35" i="61"/>
  <c r="E35" i="61"/>
  <c r="C35" i="61" s="1"/>
  <c r="V34" i="61"/>
  <c r="U34" i="61" s="1"/>
  <c r="Q34" i="61" s="1"/>
  <c r="P34" i="61"/>
  <c r="E34" i="61"/>
  <c r="C34" i="61" s="1"/>
  <c r="V33" i="61"/>
  <c r="U33" i="61" s="1"/>
  <c r="Q33" i="61" s="1"/>
  <c r="P33" i="61"/>
  <c r="E33" i="61"/>
  <c r="C33" i="61" s="1"/>
  <c r="V32" i="61"/>
  <c r="U32" i="61" s="1"/>
  <c r="Q32" i="61" s="1"/>
  <c r="P32" i="61"/>
  <c r="E32" i="61"/>
  <c r="C32" i="61" s="1"/>
  <c r="V31" i="61"/>
  <c r="U31" i="61" s="1"/>
  <c r="Q31" i="61" s="1"/>
  <c r="P31" i="61"/>
  <c r="E31" i="61"/>
  <c r="C31" i="61" s="1"/>
  <c r="U30" i="61"/>
  <c r="Q30" i="61" s="1"/>
  <c r="R30" i="61"/>
  <c r="P30" i="61" s="1"/>
  <c r="E30" i="61"/>
  <c r="C30" i="61" s="1"/>
  <c r="V29" i="61"/>
  <c r="U29" i="61" s="1"/>
  <c r="Q29" i="61" s="1"/>
  <c r="P29" i="61"/>
  <c r="E29" i="61"/>
  <c r="C29" i="61" s="1"/>
  <c r="V28" i="61"/>
  <c r="U28" i="61" s="1"/>
  <c r="Q28" i="61" s="1"/>
  <c r="P28" i="61"/>
  <c r="E28" i="61"/>
  <c r="C28" i="61" s="1"/>
  <c r="U27" i="61"/>
  <c r="Q27" i="61" s="1"/>
  <c r="P27" i="61"/>
  <c r="E27" i="61"/>
  <c r="C27" i="61" s="1"/>
  <c r="U26" i="61"/>
  <c r="Q26" i="61" s="1"/>
  <c r="P26" i="61"/>
  <c r="E26" i="61"/>
  <c r="C26" i="61" s="1"/>
  <c r="U25" i="61"/>
  <c r="Q25" i="61" s="1"/>
  <c r="P25" i="61"/>
  <c r="E25" i="61"/>
  <c r="C25" i="61" s="1"/>
  <c r="V24" i="61"/>
  <c r="U24" i="61" s="1"/>
  <c r="Q24" i="61" s="1"/>
  <c r="P24" i="61"/>
  <c r="E24" i="61"/>
  <c r="C24" i="61" s="1"/>
  <c r="U23" i="61"/>
  <c r="Q23" i="61" s="1"/>
  <c r="P23" i="61"/>
  <c r="E23" i="61"/>
  <c r="C23" i="61" s="1"/>
  <c r="U22" i="61"/>
  <c r="Q22" i="61" s="1"/>
  <c r="P22" i="61"/>
  <c r="E22" i="61"/>
  <c r="C22" i="61" s="1"/>
  <c r="V21" i="61"/>
  <c r="U21" i="61" s="1"/>
  <c r="Q21" i="61" s="1"/>
  <c r="P21" i="61"/>
  <c r="E21" i="61"/>
  <c r="C21" i="61" s="1"/>
  <c r="U20" i="61"/>
  <c r="Q20" i="61" s="1"/>
  <c r="P20" i="61"/>
  <c r="E20" i="61"/>
  <c r="C20" i="61" s="1"/>
  <c r="AE19" i="61"/>
  <c r="AD19" i="61"/>
  <c r="AC19" i="61"/>
  <c r="AB19" i="61"/>
  <c r="AA19" i="61"/>
  <c r="Z19" i="61"/>
  <c r="Y19" i="61"/>
  <c r="X19" i="61"/>
  <c r="W19" i="61"/>
  <c r="P19" i="61"/>
  <c r="N19" i="61"/>
  <c r="M19" i="61"/>
  <c r="L19" i="61"/>
  <c r="K19" i="61"/>
  <c r="J19" i="61"/>
  <c r="I19" i="61"/>
  <c r="H19" i="61"/>
  <c r="G19" i="61"/>
  <c r="F19" i="61"/>
  <c r="V18" i="61"/>
  <c r="U18" i="61" s="1"/>
  <c r="Q18" i="61" s="1"/>
  <c r="P18" i="61"/>
  <c r="AH18" i="61" s="1"/>
  <c r="E18" i="61"/>
  <c r="C18" i="61" s="1"/>
  <c r="V17" i="61"/>
  <c r="U17" i="61" s="1"/>
  <c r="Q17" i="61" s="1"/>
  <c r="P17" i="61"/>
  <c r="AH17" i="61" s="1"/>
  <c r="E17" i="61"/>
  <c r="C17" i="61" s="1"/>
  <c r="V16" i="61"/>
  <c r="U16" i="61" s="1"/>
  <c r="Q16" i="61" s="1"/>
  <c r="AI16" i="61" s="1"/>
  <c r="P16" i="61"/>
  <c r="AH16" i="61" s="1"/>
  <c r="E16" i="61"/>
  <c r="AE15" i="61"/>
  <c r="AD15" i="61"/>
  <c r="AC15" i="61"/>
  <c r="AB15" i="61"/>
  <c r="AB13" i="61" s="1"/>
  <c r="AA15" i="61"/>
  <c r="Z15" i="61"/>
  <c r="Z13" i="61" s="1"/>
  <c r="Y15" i="61"/>
  <c r="X15" i="61"/>
  <c r="X13" i="61" s="1"/>
  <c r="W15" i="61"/>
  <c r="P15" i="61"/>
  <c r="AH15" i="61" s="1"/>
  <c r="N15" i="61"/>
  <c r="M15" i="61"/>
  <c r="M13" i="61" s="1"/>
  <c r="L15" i="61"/>
  <c r="K15" i="61"/>
  <c r="K13" i="61" s="1"/>
  <c r="J15" i="61"/>
  <c r="I15" i="61"/>
  <c r="I13" i="61" s="1"/>
  <c r="H15" i="61"/>
  <c r="G15" i="61"/>
  <c r="G13" i="61" s="1"/>
  <c r="F15" i="61"/>
  <c r="V14" i="61"/>
  <c r="U14" i="61" s="1"/>
  <c r="Q14" i="61" s="1"/>
  <c r="P14" i="61"/>
  <c r="AH14" i="61" s="1"/>
  <c r="E14" i="61"/>
  <c r="C14" i="61" s="1"/>
  <c r="T13" i="61"/>
  <c r="S12" i="61"/>
  <c r="F13" i="61"/>
  <c r="D12" i="61"/>
  <c r="U154" i="61" l="1"/>
  <c r="Q154" i="61" s="1"/>
  <c r="O154" i="61" s="1"/>
  <c r="H13" i="61"/>
  <c r="L13" i="61"/>
  <c r="O107" i="61"/>
  <c r="J13" i="61"/>
  <c r="Y13" i="61"/>
  <c r="O65" i="61"/>
  <c r="O61" i="61"/>
  <c r="O33" i="61"/>
  <c r="O37" i="61"/>
  <c r="O92" i="61"/>
  <c r="O28" i="61"/>
  <c r="O53" i="61"/>
  <c r="O20" i="61"/>
  <c r="O24" i="61"/>
  <c r="O29" i="61"/>
  <c r="O34" i="61"/>
  <c r="O50" i="61"/>
  <c r="O66" i="61"/>
  <c r="V75" i="61"/>
  <c r="U75" i="61" s="1"/>
  <c r="Q75" i="61" s="1"/>
  <c r="O75" i="61" s="1"/>
  <c r="O76" i="61"/>
  <c r="O85" i="61"/>
  <c r="E15" i="61"/>
  <c r="O41" i="61"/>
  <c r="O45" i="61"/>
  <c r="O54" i="61"/>
  <c r="V68" i="61"/>
  <c r="U68" i="61" s="1"/>
  <c r="Q68" i="61" s="1"/>
  <c r="O73" i="61"/>
  <c r="O151" i="61"/>
  <c r="AC13" i="61"/>
  <c r="AI18" i="61"/>
  <c r="O49" i="61"/>
  <c r="O74" i="61"/>
  <c r="V79" i="61"/>
  <c r="U79" i="61" s="1"/>
  <c r="Q79" i="61" s="1"/>
  <c r="O91" i="61"/>
  <c r="O99" i="61"/>
  <c r="O128" i="61"/>
  <c r="U144" i="61"/>
  <c r="Q144" i="61" s="1"/>
  <c r="O144" i="61" s="1"/>
  <c r="O145" i="61"/>
  <c r="O153" i="61"/>
  <c r="AD13" i="61"/>
  <c r="O58" i="61"/>
  <c r="E71" i="61"/>
  <c r="C71" i="61" s="1"/>
  <c r="E79" i="61"/>
  <c r="C79" i="61" s="1"/>
  <c r="V88" i="61"/>
  <c r="U88" i="61" s="1"/>
  <c r="Q88" i="61" s="1"/>
  <c r="O118" i="61"/>
  <c r="AI158" i="61"/>
  <c r="V160" i="61"/>
  <c r="U160" i="61" s="1"/>
  <c r="P160" i="61"/>
  <c r="AH160" i="61" s="1"/>
  <c r="O165" i="61"/>
  <c r="O51" i="61"/>
  <c r="E68" i="61"/>
  <c r="C68" i="61" s="1"/>
  <c r="O130" i="61"/>
  <c r="O170" i="61"/>
  <c r="O30" i="61"/>
  <c r="O31" i="61"/>
  <c r="O35" i="61"/>
  <c r="O36" i="61"/>
  <c r="O59" i="61"/>
  <c r="O79" i="61"/>
  <c r="C82" i="61"/>
  <c r="E81" i="61"/>
  <c r="C81" i="61" s="1"/>
  <c r="V81" i="61"/>
  <c r="U81" i="61" s="1"/>
  <c r="Q81" i="61" s="1"/>
  <c r="U83" i="61"/>
  <c r="Q83" i="61" s="1"/>
  <c r="O83" i="61" s="1"/>
  <c r="O27" i="61"/>
  <c r="O64" i="61"/>
  <c r="O70" i="61"/>
  <c r="V71" i="61"/>
  <c r="U71" i="61" s="1"/>
  <c r="Q71" i="61" s="1"/>
  <c r="W13" i="61"/>
  <c r="AA13" i="61"/>
  <c r="AE13" i="61"/>
  <c r="C19" i="61"/>
  <c r="O21" i="61"/>
  <c r="O26" i="61"/>
  <c r="O32" i="61"/>
  <c r="O52" i="61"/>
  <c r="O60" i="61"/>
  <c r="O68" i="61"/>
  <c r="O69" i="61"/>
  <c r="O22" i="61"/>
  <c r="O23" i="61"/>
  <c r="O25" i="61"/>
  <c r="O38" i="61"/>
  <c r="O39" i="61"/>
  <c r="O42" i="61"/>
  <c r="O43" i="61"/>
  <c r="O46" i="61"/>
  <c r="O47" i="61"/>
  <c r="O55" i="61"/>
  <c r="O56" i="61"/>
  <c r="O62" i="61"/>
  <c r="O71" i="61"/>
  <c r="O72" i="61"/>
  <c r="O77" i="61"/>
  <c r="O78" i="61"/>
  <c r="V84" i="61"/>
  <c r="U84" i="61" s="1"/>
  <c r="Q84" i="61" s="1"/>
  <c r="O84" i="61" s="1"/>
  <c r="O93" i="61"/>
  <c r="O94" i="61"/>
  <c r="C95" i="61"/>
  <c r="O113" i="61"/>
  <c r="O117" i="61"/>
  <c r="O121" i="61"/>
  <c r="O126" i="61"/>
  <c r="O134" i="61"/>
  <c r="O135" i="61"/>
  <c r="O137" i="61"/>
  <c r="O139" i="61"/>
  <c r="O146" i="61"/>
  <c r="O156" i="61"/>
  <c r="AG156" i="61" s="1"/>
  <c r="AH156" i="61"/>
  <c r="R160" i="61"/>
  <c r="O80" i="61"/>
  <c r="U90" i="61"/>
  <c r="Q90" i="61" s="1"/>
  <c r="U95" i="61"/>
  <c r="Q95" i="61" s="1"/>
  <c r="O95" i="61" s="1"/>
  <c r="O102" i="61"/>
  <c r="O110" i="61"/>
  <c r="O167" i="61"/>
  <c r="O168" i="61"/>
  <c r="O169" i="61"/>
  <c r="O96" i="61"/>
  <c r="O142" i="61"/>
  <c r="O143" i="61"/>
  <c r="U150" i="61"/>
  <c r="Q150" i="61" s="1"/>
  <c r="O150" i="61" s="1"/>
  <c r="O152" i="61"/>
  <c r="O158" i="61"/>
  <c r="AG158" i="61" s="1"/>
  <c r="AH158" i="61"/>
  <c r="O81" i="61"/>
  <c r="O82" i="61"/>
  <c r="O90" i="61"/>
  <c r="E88" i="61"/>
  <c r="C88" i="61" s="1"/>
  <c r="O98" i="61"/>
  <c r="O103" i="61"/>
  <c r="O106" i="61"/>
  <c r="O111" i="61"/>
  <c r="O114" i="61"/>
  <c r="O122" i="61"/>
  <c r="O131" i="61"/>
  <c r="O140" i="61"/>
  <c r="O141" i="61"/>
  <c r="O148" i="61"/>
  <c r="O164" i="61"/>
  <c r="O17" i="61"/>
  <c r="AG17" i="61" s="1"/>
  <c r="AI17" i="61"/>
  <c r="O14" i="61"/>
  <c r="AG14" i="61" s="1"/>
  <c r="AI14" i="61"/>
  <c r="C15" i="61"/>
  <c r="V19" i="61"/>
  <c r="O63" i="61"/>
  <c r="O87" i="61"/>
  <c r="O89" i="61"/>
  <c r="V15" i="61"/>
  <c r="U15" i="61" s="1"/>
  <c r="Q15" i="61" s="1"/>
  <c r="AI15" i="61" s="1"/>
  <c r="C16" i="61"/>
  <c r="O67" i="61"/>
  <c r="R13" i="61"/>
  <c r="O16" i="61"/>
  <c r="O18" i="61"/>
  <c r="AG18" i="61" s="1"/>
  <c r="O40" i="61"/>
  <c r="O44" i="61"/>
  <c r="O48" i="61"/>
  <c r="O88" i="61"/>
  <c r="E84" i="61"/>
  <c r="C84" i="61" s="1"/>
  <c r="U86" i="61"/>
  <c r="Q86" i="61" s="1"/>
  <c r="O86" i="61" s="1"/>
  <c r="C91" i="61"/>
  <c r="O100" i="61"/>
  <c r="O104" i="61"/>
  <c r="O108" i="61"/>
  <c r="O112" i="61"/>
  <c r="O116" i="61"/>
  <c r="O120" i="61"/>
  <c r="U127" i="61"/>
  <c r="Q127" i="61" s="1"/>
  <c r="O127" i="61" s="1"/>
  <c r="U124" i="61"/>
  <c r="Q124" i="61" s="1"/>
  <c r="O124" i="61" s="1"/>
  <c r="O138" i="61"/>
  <c r="O147" i="61"/>
  <c r="O157" i="61"/>
  <c r="AG157" i="61" s="1"/>
  <c r="AI157" i="61"/>
  <c r="E160" i="61"/>
  <c r="C167" i="61"/>
  <c r="C160" i="61" s="1"/>
  <c r="O125" i="61"/>
  <c r="O129" i="61"/>
  <c r="O159" i="61"/>
  <c r="AG159" i="61" s="1"/>
  <c r="AI159" i="61"/>
  <c r="O162" i="61"/>
  <c r="O166" i="61"/>
  <c r="E75" i="61"/>
  <c r="C75" i="61" s="1"/>
  <c r="O115" i="61"/>
  <c r="O119" i="61"/>
  <c r="O123" i="61"/>
  <c r="C124" i="61"/>
  <c r="Q160" i="61"/>
  <c r="O163" i="61"/>
  <c r="C132" i="61"/>
  <c r="U136" i="61"/>
  <c r="Q136" i="61" s="1"/>
  <c r="O136" i="61" s="1"/>
  <c r="E140" i="61"/>
  <c r="C140" i="61" s="1"/>
  <c r="C142" i="61"/>
  <c r="C144" i="61"/>
  <c r="C150" i="61"/>
  <c r="O161" i="61"/>
  <c r="C153" i="61"/>
  <c r="U19" i="61" l="1"/>
  <c r="Q19" i="61" s="1"/>
  <c r="O19" i="61" s="1"/>
  <c r="V13" i="61"/>
  <c r="R12" i="61"/>
  <c r="AI160" i="61"/>
  <c r="AG16" i="61"/>
  <c r="O15" i="61"/>
  <c r="AG15" i="61" s="1"/>
  <c r="P12" i="61"/>
  <c r="AH12" i="61" s="1"/>
  <c r="V12" i="61"/>
  <c r="N10" i="54"/>
  <c r="P9" i="54"/>
  <c r="N9" i="54" s="1"/>
  <c r="E13" i="61"/>
  <c r="E12" i="61" s="1"/>
  <c r="O160" i="61"/>
  <c r="AG160" i="61" s="1"/>
  <c r="E20" i="51"/>
  <c r="U13" i="61" l="1"/>
  <c r="U12" i="61" s="1"/>
  <c r="C13" i="61"/>
  <c r="C12" i="61" s="1"/>
  <c r="Q13" i="61"/>
  <c r="Q12" i="61" s="1"/>
  <c r="AI12" i="61" s="1"/>
  <c r="E36" i="51"/>
  <c r="AI13" i="61" l="1"/>
  <c r="O13" i="61"/>
  <c r="O12" i="61" s="1"/>
  <c r="AG12" i="61" s="1"/>
  <c r="AG13" i="61" l="1"/>
  <c r="C68" i="54" l="1"/>
  <c r="I64" i="54" l="1"/>
  <c r="J9" i="54" l="1"/>
  <c r="H39" i="53"/>
  <c r="G39" i="53"/>
  <c r="J39" i="53" s="1"/>
  <c r="F92" i="53"/>
  <c r="F91" i="53"/>
  <c r="F89" i="53"/>
  <c r="F90" i="53"/>
  <c r="F88" i="53"/>
  <c r="F87" i="53"/>
  <c r="F86" i="53"/>
  <c r="F85" i="53"/>
  <c r="F84" i="53"/>
  <c r="F83" i="53"/>
  <c r="F82" i="53"/>
  <c r="F81" i="53"/>
  <c r="F80" i="53"/>
  <c r="F79" i="53"/>
  <c r="F78" i="53"/>
  <c r="F77" i="53"/>
  <c r="F76" i="53"/>
  <c r="F75" i="53"/>
  <c r="F74" i="53"/>
  <c r="F72" i="53"/>
  <c r="F73" i="53"/>
  <c r="F71" i="53"/>
  <c r="F70" i="53"/>
  <c r="F69" i="53"/>
  <c r="F68" i="53"/>
  <c r="F67" i="53"/>
  <c r="F66" i="53"/>
  <c r="F65" i="53"/>
  <c r="F64" i="53"/>
  <c r="F63" i="53"/>
  <c r="F62" i="53"/>
  <c r="F61" i="53"/>
  <c r="F60" i="53"/>
  <c r="F59" i="53"/>
  <c r="F58" i="53"/>
  <c r="F50" i="53"/>
  <c r="F51" i="53"/>
  <c r="F52" i="53"/>
  <c r="F53" i="53"/>
  <c r="F54" i="53"/>
  <c r="F55" i="53"/>
  <c r="F56" i="53"/>
  <c r="F57" i="53"/>
  <c r="F49" i="53"/>
  <c r="F48" i="53"/>
  <c r="F47" i="53"/>
  <c r="F46" i="53"/>
  <c r="F45" i="53"/>
  <c r="F44" i="53"/>
  <c r="F43" i="53"/>
  <c r="F42" i="53"/>
  <c r="F41" i="53"/>
  <c r="F40" i="53"/>
  <c r="F39" i="53" l="1"/>
  <c r="I39" i="53" s="1"/>
  <c r="E11" i="52" l="1"/>
  <c r="F11" i="52"/>
  <c r="H33" i="53"/>
  <c r="H32" i="53" s="1"/>
  <c r="G33" i="53"/>
  <c r="G32" i="53" s="1"/>
  <c r="F37" i="53"/>
  <c r="F38" i="53"/>
  <c r="F36" i="53"/>
  <c r="J32" i="53" l="1"/>
  <c r="G10" i="53"/>
  <c r="F33" i="53"/>
  <c r="F35" i="53"/>
  <c r="F34" i="53"/>
  <c r="S17" i="58" l="1"/>
  <c r="S21" i="58"/>
  <c r="R14" i="58"/>
  <c r="R15" i="58"/>
  <c r="R16" i="58"/>
  <c r="R17" i="58"/>
  <c r="R18" i="58"/>
  <c r="R19" i="58"/>
  <c r="R20" i="58"/>
  <c r="R21" i="58"/>
  <c r="R22" i="58"/>
  <c r="R13" i="58"/>
  <c r="D12" i="58"/>
  <c r="R12" i="58" s="1"/>
  <c r="C22" i="58"/>
  <c r="Q22" i="58" s="1"/>
  <c r="C20" i="58"/>
  <c r="Q20" i="58" s="1"/>
  <c r="C19" i="58"/>
  <c r="Q19" i="58" s="1"/>
  <c r="S18" i="58"/>
  <c r="C17" i="58"/>
  <c r="Q17" i="58" s="1"/>
  <c r="C16" i="58"/>
  <c r="Q16" i="58" s="1"/>
  <c r="C15" i="58"/>
  <c r="Q15" i="58" s="1"/>
  <c r="C18" i="58"/>
  <c r="Q18" i="58" s="1"/>
  <c r="C21" i="58"/>
  <c r="Q21" i="58" s="1"/>
  <c r="C14" i="58"/>
  <c r="Q14" i="58" s="1"/>
  <c r="S13" i="58"/>
  <c r="S22" i="58" l="1"/>
  <c r="S14" i="58"/>
  <c r="S20" i="58"/>
  <c r="S16" i="58"/>
  <c r="C13" i="58"/>
  <c r="E12" i="58"/>
  <c r="S12" i="58" s="1"/>
  <c r="S19" i="58"/>
  <c r="S15" i="58"/>
  <c r="C12" i="58" l="1"/>
  <c r="Q12" i="58" s="1"/>
  <c r="Q13" i="58"/>
  <c r="F13" i="52"/>
  <c r="D47" i="52" l="1"/>
  <c r="C47" i="52"/>
  <c r="F47" i="52" l="1"/>
  <c r="E30" i="51"/>
  <c r="K10" i="54" l="1"/>
  <c r="I10" i="54" s="1"/>
  <c r="I9" i="54" s="1"/>
  <c r="K9" i="54" l="1"/>
  <c r="C67" i="54"/>
  <c r="C65" i="54"/>
  <c r="V10" i="54"/>
  <c r="G9" i="54"/>
  <c r="Q9" i="54"/>
  <c r="L9" i="54"/>
  <c r="D9" i="54"/>
  <c r="V9" i="54" s="1"/>
  <c r="W10" i="54"/>
  <c r="W9" i="54" l="1"/>
  <c r="C10" i="54"/>
  <c r="C9" i="54" s="1"/>
  <c r="J22" i="53"/>
  <c r="F93" i="53"/>
  <c r="U10" i="54" l="1"/>
  <c r="U9" i="54"/>
  <c r="F31" i="53"/>
  <c r="H10" i="53"/>
  <c r="F32" i="53"/>
  <c r="I32" i="53" s="1"/>
  <c r="F27" i="53"/>
  <c r="F24" i="53"/>
  <c r="E11" i="53"/>
  <c r="E10" i="53" s="1"/>
  <c r="D10" i="53"/>
  <c r="C29" i="53"/>
  <c r="C25" i="53"/>
  <c r="I25" i="53" s="1"/>
  <c r="C24" i="53"/>
  <c r="C22" i="53"/>
  <c r="C12" i="53"/>
  <c r="C30" i="52"/>
  <c r="C12" i="52" s="1"/>
  <c r="C10" i="52" s="1"/>
  <c r="D30" i="52"/>
  <c r="C10" i="51"/>
  <c r="C29" i="51"/>
  <c r="E29" i="51" s="1"/>
  <c r="I24" i="53" l="1"/>
  <c r="C11" i="53"/>
  <c r="D12" i="52"/>
  <c r="D10" i="52" s="1"/>
  <c r="F30" i="52"/>
  <c r="C9" i="51"/>
  <c r="D9" i="51"/>
  <c r="E10" i="51"/>
  <c r="C10" i="53"/>
  <c r="K12" i="53"/>
  <c r="J12" i="53"/>
  <c r="F22" i="53"/>
  <c r="F12" i="53"/>
  <c r="I12" i="53" s="1"/>
  <c r="F12" i="52" l="1"/>
  <c r="E9" i="51"/>
  <c r="I22" i="53"/>
  <c r="F10" i="53"/>
  <c r="F10" i="52"/>
  <c r="E10" i="52"/>
  <c r="J11" i="53"/>
  <c r="K10" i="53"/>
  <c r="K11" i="53"/>
  <c r="E24" i="49"/>
  <c r="E13" i="49"/>
  <c r="E14" i="49"/>
  <c r="D32" i="49"/>
  <c r="E31" i="49"/>
  <c r="D40" i="49"/>
  <c r="D38" i="49" s="1"/>
  <c r="C38" i="49"/>
  <c r="C32" i="49"/>
  <c r="C30" i="49" s="1"/>
  <c r="E25" i="49"/>
  <c r="E22" i="49"/>
  <c r="D23" i="49"/>
  <c r="D21" i="49" s="1"/>
  <c r="D12" i="49"/>
  <c r="D10" i="49" s="1"/>
  <c r="C12" i="49"/>
  <c r="C10" i="49" s="1"/>
  <c r="E38" i="49" l="1"/>
  <c r="E11" i="49"/>
  <c r="D30" i="49"/>
  <c r="D44" i="49" s="1"/>
  <c r="E12" i="49"/>
  <c r="I11" i="53"/>
  <c r="J10" i="53"/>
  <c r="I10" i="53"/>
  <c r="E32" i="49"/>
  <c r="C23" i="49"/>
  <c r="C21" i="49" s="1"/>
  <c r="E21" i="49" s="1"/>
  <c r="E39" i="49"/>
  <c r="E31" i="48"/>
  <c r="E30" i="48"/>
  <c r="F17" i="48"/>
  <c r="E17" i="48"/>
  <c r="F27" i="48"/>
  <c r="F28" i="48"/>
  <c r="E27" i="48"/>
  <c r="E28" i="48"/>
  <c r="E29" i="48"/>
  <c r="E30" i="49" l="1"/>
  <c r="E10" i="49"/>
  <c r="D28" i="49"/>
  <c r="E23" i="49"/>
  <c r="D33" i="48"/>
  <c r="C42" i="48"/>
  <c r="F33" i="48" l="1"/>
  <c r="E33" i="48"/>
  <c r="C16" i="48"/>
  <c r="C13" i="48"/>
  <c r="E39" i="48" l="1"/>
  <c r="F39" i="48"/>
  <c r="C12" i="48"/>
  <c r="F34" i="48"/>
  <c r="E34" i="48"/>
  <c r="E35" i="48"/>
  <c r="F18" i="48"/>
  <c r="E18" i="48"/>
  <c r="D13" i="48"/>
  <c r="H14" i="48" s="1"/>
  <c r="E13" i="48" l="1"/>
  <c r="F13" i="48"/>
  <c r="D26" i="48"/>
  <c r="D25" i="48" s="1"/>
  <c r="C26" i="48"/>
  <c r="D16" i="48"/>
  <c r="D12" i="48" s="1"/>
  <c r="F16" i="48" l="1"/>
  <c r="E16" i="48"/>
  <c r="E12" i="48" s="1"/>
  <c r="D38" i="48"/>
  <c r="F12" i="48"/>
  <c r="F26" i="48"/>
  <c r="E26" i="48"/>
  <c r="E25" i="48" s="1"/>
  <c r="C25" i="48"/>
  <c r="F25" i="48" l="1"/>
</calcChain>
</file>

<file path=xl/sharedStrings.xml><?xml version="1.0" encoding="utf-8"?>
<sst xmlns="http://schemas.openxmlformats.org/spreadsheetml/2006/main" count="1153" uniqueCount="664">
  <si>
    <t>STT</t>
  </si>
  <si>
    <t>Nội dung</t>
  </si>
  <si>
    <t>A</t>
  </si>
  <si>
    <t>B</t>
  </si>
  <si>
    <t>-</t>
  </si>
  <si>
    <t>Đơn vị: Triệu đồng</t>
  </si>
  <si>
    <t>Thu nội địa</t>
  </si>
  <si>
    <t>II</t>
  </si>
  <si>
    <t>III</t>
  </si>
  <si>
    <t>IV</t>
  </si>
  <si>
    <t>C</t>
  </si>
  <si>
    <t>I</t>
  </si>
  <si>
    <t>Thu bổ sung có mục tiêu</t>
  </si>
  <si>
    <t>D</t>
  </si>
  <si>
    <t>TỔNG CHI NSĐP</t>
  </si>
  <si>
    <t>Chi thường xuyên</t>
  </si>
  <si>
    <t>Chi trả nợ lãi các khoản do chính quyền địa phương vay</t>
  </si>
  <si>
    <t>Chi tạo nguồn, điều chỉnh tiền lương</t>
  </si>
  <si>
    <t>E</t>
  </si>
  <si>
    <t>G</t>
  </si>
  <si>
    <t>Từ nguồn vay để trả nợ gốc</t>
  </si>
  <si>
    <t>Vay để bù đắp bội chi</t>
  </si>
  <si>
    <t>Vay để trả nợ gốc</t>
  </si>
  <si>
    <t>V</t>
  </si>
  <si>
    <t>Tổng số</t>
  </si>
  <si>
    <t>TỔNG SỐ</t>
  </si>
  <si>
    <t>Trong đó:</t>
  </si>
  <si>
    <t>Vốn trong nước</t>
  </si>
  <si>
    <t>Tên đơn vị</t>
  </si>
  <si>
    <t>Trong đó</t>
  </si>
  <si>
    <t>Chương trình mục tiêu quốc gia</t>
  </si>
  <si>
    <t>So sánh</t>
  </si>
  <si>
    <t>Tuyệt đối</t>
  </si>
  <si>
    <t>TỔNG NGUỒN THU NSĐP</t>
  </si>
  <si>
    <t>Thu bổ sung cân đối ngân sách</t>
  </si>
  <si>
    <t>Thu từ quỹ dự trữ tài chính</t>
  </si>
  <si>
    <t>Thu chuyển nguồn từ năm trước chuyển sang</t>
  </si>
  <si>
    <t>Chi bổ sung quỹ dự trữ tài chính</t>
  </si>
  <si>
    <t>Dự phòng ngân sách</t>
  </si>
  <si>
    <t>Chi các chương trình mục tiêu</t>
  </si>
  <si>
    <t>Chi các chương trình mục tiêu quốc gia</t>
  </si>
  <si>
    <t>Chi các chương trình mục tiêu, nhiệm vụ</t>
  </si>
  <si>
    <t>Chi chuyển nguồn sang năm sau</t>
  </si>
  <si>
    <t>Từ nguồn bội thu, tăng thu, tiết kiệm chi, kết dư ngân sách cấp tỉnh</t>
  </si>
  <si>
    <t>3=2/1</t>
  </si>
  <si>
    <t>Thuế thu nhập cá nhân</t>
  </si>
  <si>
    <t>Thuế bảo vệ môi trường</t>
  </si>
  <si>
    <t>Thu tiền sử dụng đất</t>
  </si>
  <si>
    <t>Thu từ dầu thô</t>
  </si>
  <si>
    <t>NGÂN SÁCH CẤP TỈNH</t>
  </si>
  <si>
    <t>Nguồn thu ngân sách</t>
  </si>
  <si>
    <t>Thu ngân sách được hưởng theo phân cấp</t>
  </si>
  <si>
    <t>Thu bổ sung từ ngân sách cấp trên</t>
  </si>
  <si>
    <t>Thu kết dư</t>
  </si>
  <si>
    <t>Chi ngân sách</t>
  </si>
  <si>
    <t>Chi thuộc nhiệm vụ của ngân sách cấp tỉnh</t>
  </si>
  <si>
    <t>Chi bổ sung cân đối ngân sách</t>
  </si>
  <si>
    <t>Chi bổ sung có mục tiêu</t>
  </si>
  <si>
    <t>NGÂN SÁCH HUYỆN</t>
  </si>
  <si>
    <t>Chi bổ sung cho ngân sách cấp dưới</t>
  </si>
  <si>
    <t>Ngân sách huyện</t>
  </si>
  <si>
    <t>3=2-1</t>
  </si>
  <si>
    <t>4=2/1</t>
  </si>
  <si>
    <t>Thu NSĐP được hưởng theo phân cấp</t>
  </si>
  <si>
    <t>Thu NSĐP hưởng 100%</t>
  </si>
  <si>
    <t>Thu NSĐP hưởng từ các khoản thu phân chia</t>
  </si>
  <si>
    <t>Chi đầu tư phát triển</t>
  </si>
  <si>
    <t>TỔNG MỨC VAY CỦA NSĐP</t>
  </si>
  <si>
    <t>So sánh (%)</t>
  </si>
  <si>
    <t>Tổng thu NSNN</t>
  </si>
  <si>
    <t>Thu NSĐP</t>
  </si>
  <si>
    <t>5=3/1</t>
  </si>
  <si>
    <t>6=4/2</t>
  </si>
  <si>
    <t>Thuế sử dụng đất nông nghiệp</t>
  </si>
  <si>
    <t>Thuế sử dụng đất phi nông nghiệp</t>
  </si>
  <si>
    <t>Tiền cho thuê đất, thuê mặt nước</t>
  </si>
  <si>
    <t>Thu từ hoạt động xổ số kiến thiết</t>
  </si>
  <si>
    <t>Thu tiền cấp quyền khai thác khoáng sản</t>
  </si>
  <si>
    <t>Thu khác ngân sách</t>
  </si>
  <si>
    <t>Thu từ quỹ đất công ích, hoa lợi công sản khác</t>
  </si>
  <si>
    <t>Thuế nhập khẩu</t>
  </si>
  <si>
    <t>Thu viện trợ</t>
  </si>
  <si>
    <t>Tương đối (%)</t>
  </si>
  <si>
    <t>CHI CÂN ĐỐI NSĐP</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</si>
  <si>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</si>
  <si>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</si>
  <si>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</si>
  <si>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</si>
  <si>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</si>
  <si>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</si>
  <si>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</si>
  <si>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</si>
  <si>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VI</t>
  </si>
  <si>
    <t>CHI CÁC CHƯƠNG TRÌNH MỤC TIÊU</t>
  </si>
  <si>
    <t>Lệ phí trước bạ</t>
  </si>
  <si>
    <t>Phí và lệ phí trung ương</t>
  </si>
  <si>
    <t>Thuế xuất khẩu</t>
  </si>
  <si>
    <t>CHI CHUYỂN NGUỒN SANG NĂM SAU</t>
  </si>
  <si>
    <t>Bao gồm</t>
  </si>
  <si>
    <t>Ngân sách địa phương</t>
  </si>
  <si>
    <t>1=2+3</t>
  </si>
  <si>
    <t>4=5+6</t>
  </si>
  <si>
    <t>7=4/1</t>
  </si>
  <si>
    <t>8=5/2</t>
  </si>
  <si>
    <t>9=6/3</t>
  </si>
  <si>
    <t>Chi đầu tư từ nguồn thu xổ số kiến thiết</t>
  </si>
  <si>
    <t xml:space="preserve">Chi đầu tư phát triển </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</si>
  <si>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</si>
  <si>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</si>
  <si>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</si>
  <si>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</si>
  <si>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</si>
  <si>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</si>
  <si>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</si>
  <si>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</si>
  <si>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</si>
  <si>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</si>
  <si>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</si>
  <si>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chương trình MTQG</t>
  </si>
  <si>
    <t>Chi chuyển nguồn sang ngân sách năm sau</t>
  </si>
  <si>
    <t>CÁC CƠ QUAN, TỔ CHỨC</t>
  </si>
  <si>
    <t>CHI CHUYỂN NGUỒN SANG NGÂN SÁCH NĂM SAU</t>
  </si>
  <si>
    <t xml:space="preserve">Chi khoa học và công nghệ </t>
  </si>
  <si>
    <t xml:space="preserve">Chi các chương trình mục tiêu, nhiệm vụ </t>
  </si>
  <si>
    <t>Dự toán</t>
  </si>
  <si>
    <t>CHI DỰ PHÒNG NGÂN SÁCH</t>
  </si>
  <si>
    <t>CHI TẠO NGUỒN, ĐIỀU CHỈNH TIỀN LƯƠNG</t>
  </si>
  <si>
    <t>VII</t>
  </si>
  <si>
    <t>Đầu tư phát triển</t>
  </si>
  <si>
    <t>Kinh phí sự nghiệp</t>
  </si>
  <si>
    <t>Vốn ngoài nước</t>
  </si>
  <si>
    <t>Chia ra</t>
  </si>
  <si>
    <t>Số bổ sung cân đối từ ngân sách cấp trên</t>
  </si>
  <si>
    <t>Số bổ sung thực hiện cải cách tiền lương</t>
  </si>
  <si>
    <t>Quyết toán</t>
  </si>
  <si>
    <t xml:space="preserve">Thu bổ sung từ ngân sách cấp trên </t>
  </si>
  <si>
    <t xml:space="preserve">Tổng chi cân đối NSĐP </t>
  </si>
  <si>
    <t>CHI TRẢ NỢ GỐC CỦA NSĐP</t>
  </si>
  <si>
    <t>TỔNG MỨC DƯ NỢ VAY CUỐI NĂM CỦA NSĐP</t>
  </si>
  <si>
    <t>Bổ sung cân đối ngân sách</t>
  </si>
  <si>
    <t>Bổ sung có mục tiêu</t>
  </si>
  <si>
    <t>TỔNG THU CÂN ĐỐI NSNN</t>
  </si>
  <si>
    <t xml:space="preserve">Thu phí, lệ phí </t>
  </si>
  <si>
    <t>Phí và lệ phí xã, phường</t>
  </si>
  <si>
    <t>Tiền cho thuê và tiền bán nhà ở thuộc sở hữu nhà nước</t>
  </si>
  <si>
    <t xml:space="preserve">Thu từ hoạt động xuất nhập khẩu </t>
  </si>
  <si>
    <t>Thuế tiêu thụ đặc biệt thu từ hàng hóa nhập khẩu</t>
  </si>
  <si>
    <t>Thuế bảo vệ môi trường thu từ hàng hóa nhập khẩu</t>
  </si>
  <si>
    <t>Thuế giá trị gia tăng thu từ hàng hóa nhập khẩu</t>
  </si>
  <si>
    <t>THU KẾT DƯ NĂM TRƯỚC</t>
  </si>
  <si>
    <t>THU CHUYỂN NGUỒN TỪ NĂM TRƯỚC CHUYỂN SANG</t>
  </si>
  <si>
    <t>TỔNG CHI NGÂN SÁCH ĐỊA PHƯƠNG</t>
  </si>
  <si>
    <t>CHI CÂN ĐỐI NGÂN SÁCH ĐỊA PHƯƠNG</t>
  </si>
  <si>
    <t xml:space="preserve">Chi đầu tư cho các dự án </t>
  </si>
  <si>
    <t>Chi CTMTQG</t>
  </si>
  <si>
    <t>Chi giáo dục đào tạo dạy nghề</t>
  </si>
  <si>
    <t>15= 4/1</t>
  </si>
  <si>
    <t>16= 5/2</t>
  </si>
  <si>
    <t>So sách (%)</t>
  </si>
  <si>
    <t>Gồm</t>
  </si>
  <si>
    <t>Vốn đầu tư để thực hiện các CTMT, nhiệm vụ</t>
  </si>
  <si>
    <t>Vốn sự nghiệp thực hiện các chế độ, chính sách</t>
  </si>
  <si>
    <t>Vốn thực hiện các CTMT quốc gia</t>
  </si>
  <si>
    <t>3=4+5</t>
  </si>
  <si>
    <t>11=12+13</t>
  </si>
  <si>
    <t>17=9/1</t>
  </si>
  <si>
    <t>18=10/2</t>
  </si>
  <si>
    <t>19=11/3</t>
  </si>
  <si>
    <t>20=12/4</t>
  </si>
  <si>
    <t>21=13/5</t>
  </si>
  <si>
    <t>22=14/6</t>
  </si>
  <si>
    <t>23=15/7</t>
  </si>
  <si>
    <t>24=16/8</t>
  </si>
  <si>
    <t>Tổng thu NSĐP</t>
  </si>
  <si>
    <t>Thu NSĐP hưởng theo phân cấp</t>
  </si>
  <si>
    <t>Thu từ kết dư năm trước</t>
  </si>
  <si>
    <t>KẾT DƯ NSĐP</t>
  </si>
  <si>
    <t>Chi nộp ngân sách cấp trên</t>
  </si>
  <si>
    <t>Vay trung ương</t>
  </si>
  <si>
    <t>Thu viện trợ không hoàn lại</t>
  </si>
  <si>
    <t>Thu từ ngân sách cấp dưới nộp lên</t>
  </si>
  <si>
    <t>VIII</t>
  </si>
  <si>
    <t>Thu từ khu vực DNNN do trung ương quản lý</t>
  </si>
  <si>
    <t>- Thuế giá trị gia tăng</t>
  </si>
  <si>
    <t>- Thuế thu nhập doanh nghiệp</t>
  </si>
  <si>
    <t>- Thuế tiêu thụ đặc biệt</t>
  </si>
  <si>
    <t>- Thuế tài nguyên</t>
  </si>
  <si>
    <t>- Thuế môn bài</t>
  </si>
  <si>
    <t xml:space="preserve">Thu từ khu vực DNNN do địa phương quản lý </t>
  </si>
  <si>
    <t xml:space="preserve">Thu từ khu vực doanh nghiệp có vốn đầu tư nước ngoài </t>
  </si>
  <si>
    <t>- Tiền thuê mặt đất, mặt nước</t>
  </si>
  <si>
    <t xml:space="preserve">Thu từ khu vực kinh tế ngoài quốc doanh </t>
  </si>
  <si>
    <t>- Thu khác</t>
  </si>
  <si>
    <t>Thu từ hàng hóa nhập khẩu</t>
  </si>
  <si>
    <t>Thu từ hàng hóa sản xuất trong nước</t>
  </si>
  <si>
    <t>Phí và lệ phí tỉnh, huyện</t>
  </si>
  <si>
    <t>Lệ phí môn bài</t>
  </si>
  <si>
    <t>- Thuế thu nhập sau thuế</t>
  </si>
  <si>
    <t>Thuế bảo vệ môi trường do cơ quan hải quan thực hiện</t>
  </si>
  <si>
    <t>VAY CỦA NGÂN SÁCH NHÀ NƯỚC</t>
  </si>
  <si>
    <t>Chi  khác</t>
  </si>
  <si>
    <t>Văn phòng UBND tỉnh và đơn vị trực thuộc</t>
  </si>
  <si>
    <t>Sở Kế hoạch Đầu tư</t>
  </si>
  <si>
    <t>Ngành Tư pháp</t>
  </si>
  <si>
    <t>Ngành Công Thương</t>
  </si>
  <si>
    <t>Sở Nội vụ và các đơn vị trực thuộc</t>
  </si>
  <si>
    <t>Ngành khoa học Công nghệ</t>
  </si>
  <si>
    <t>Ngành Tài chính</t>
  </si>
  <si>
    <t>Ngành Lao động TBXH</t>
  </si>
  <si>
    <t>Ngành xây dựng</t>
  </si>
  <si>
    <t>Ngành Giao thông vận tải</t>
  </si>
  <si>
    <t>Sở Thông tin truyền thông</t>
  </si>
  <si>
    <t>Ngành Tài nguyên môi trường</t>
  </si>
  <si>
    <t>Ngành văn hóa thể thao Du lịch</t>
  </si>
  <si>
    <t>Thanh tra tỉnh</t>
  </si>
  <si>
    <t>Đài phát thanh truyền hình</t>
  </si>
  <si>
    <t>Ban Dân tộc</t>
  </si>
  <si>
    <t>BQL các khu công nghiệp</t>
  </si>
  <si>
    <t>Ngành y tế</t>
  </si>
  <si>
    <t>Ngành nông nghiệp và PTNT</t>
  </si>
  <si>
    <t>VP Ban chỉ huy PCTT&amp;TKCN</t>
  </si>
  <si>
    <t>Trường chính trị</t>
  </si>
  <si>
    <t>Trường Cao đẳng y tế</t>
  </si>
  <si>
    <t>Trường Cao đẳng nghề</t>
  </si>
  <si>
    <t>Tỉnh ủy Bình Thuận</t>
  </si>
  <si>
    <t>Báo Bình Thuận</t>
  </si>
  <si>
    <t>Đoàn khối doanh nghiệp</t>
  </si>
  <si>
    <t>Đoàn khối các cơ quan tỉnh</t>
  </si>
  <si>
    <t>Hội khuyến học</t>
  </si>
  <si>
    <t>Hội nhà báo</t>
  </si>
  <si>
    <t>Hội cựu tù chính trị</t>
  </si>
  <si>
    <t>UB Mặt trận Tổ quốc Việt Nam</t>
  </si>
  <si>
    <t>Tỉnh Đoàn</t>
  </si>
  <si>
    <t>Hội Liên hiệp phụ nữ</t>
  </si>
  <si>
    <t>Hội Nông dân</t>
  </si>
  <si>
    <t>Hội cựu chiến binh</t>
  </si>
  <si>
    <t>Hội chữ thập đỏ</t>
  </si>
  <si>
    <t>Hội Luật gia</t>
  </si>
  <si>
    <t>Hội Đông y</t>
  </si>
  <si>
    <t>Hội người mù</t>
  </si>
  <si>
    <t>Hội Văn học nghệ thuật</t>
  </si>
  <si>
    <t>Liên hiệp các hội khoa học KT</t>
  </si>
  <si>
    <t>Câu lạc bộ Hưu trí tỉnh</t>
  </si>
  <si>
    <t>Hội nạn nhân chất độc DIOXIN</t>
  </si>
  <si>
    <t>Hội cựu thanh niên xung phong</t>
  </si>
  <si>
    <t>Hội Bảo trợ khuyết tật và trẻ mồ côi</t>
  </si>
  <si>
    <t>Chi công việc, nhiệm vụ khác</t>
  </si>
  <si>
    <t>CHI BỔ SUNG CÓ MỤC TIÊU CHO NGÂN SÁCH CẤP DƯỚI</t>
  </si>
  <si>
    <t>Chi trả nợ lãi do chính quyền địa phương vay</t>
  </si>
  <si>
    <t xml:space="preserve">Hội tin học </t>
  </si>
  <si>
    <t>Quỹ bảo trì đường bộ</t>
  </si>
  <si>
    <t>Liên minh các HTX</t>
  </si>
  <si>
    <t>Ngân sách cấp tỉnh</t>
  </si>
  <si>
    <t xml:space="preserve">Chi bổ sung cho ngân sách cấp dưới </t>
  </si>
  <si>
    <t xml:space="preserve">Chi thuộc nhiệm vụ của ngân sách cấp huyện </t>
  </si>
  <si>
    <t>Thu hồi vốn, thu cổ tức</t>
  </si>
  <si>
    <t xml:space="preserve">Lợi nhuận được chia của Nhà nước và lợi nhuận sau thuế còn lại sau khi trích lập các quỹ của doanh nghiệp nhà nước </t>
  </si>
  <si>
    <t>CHI NỘP NGÂN SÁCH CẤP TRÊN</t>
  </si>
  <si>
    <t xml:space="preserve">Chi trả nợ lãi các khoản do chính quyền địa phương vay </t>
  </si>
  <si>
    <t xml:space="preserve">Chi bổ sung quỹ dự trữ tài chính </t>
  </si>
  <si>
    <t>Chi các Chương trình mục tiêu</t>
  </si>
  <si>
    <t>Chi các chương trình mục tiêu nhiệm vụ</t>
  </si>
  <si>
    <t xml:space="preserve">CHI BỔ SUNG CÂN ĐỐI CHO NGÂN SÁCH CẤP DƯỚI </t>
  </si>
  <si>
    <t>CHI NGÂN SÁCH CẤP TỈNH THEO LĨNH VỰC</t>
  </si>
  <si>
    <t>Chi trả nợ gốc từ nguồn bội thu, tăng thu, tiết kiệm, kết dư ngân sách cấp tỉnh</t>
  </si>
  <si>
    <t>Thành phố Phan Thiết</t>
  </si>
  <si>
    <t>Tuy Phong</t>
  </si>
  <si>
    <t>Bắc Bình</t>
  </si>
  <si>
    <t>Hàm Thuận Bắc</t>
  </si>
  <si>
    <t>Hàm Thuận Nam</t>
  </si>
  <si>
    <t>La Gi</t>
  </si>
  <si>
    <t>Hàm Tân</t>
  </si>
  <si>
    <t>Đức Linh</t>
  </si>
  <si>
    <t>Tánh Linh</t>
  </si>
  <si>
    <t>Phú Quý</t>
  </si>
  <si>
    <t>Chương trình MTQG xây dựng nông thôn mới</t>
  </si>
  <si>
    <t>Chương trình MTQG giảm nghèo bền vững</t>
  </si>
  <si>
    <t>Chương trình MTQG về y tế</t>
  </si>
  <si>
    <t>Chương trình mục tiêu tái cơ cấu kinh tế nông nghiệp và phòng chống giảm nhẹ thiên tai, ổn định đời sống dân cư</t>
  </si>
  <si>
    <t>Chương trình mục tiêu giáo dục nghề nghiệp, việc làm và an toàn lao động</t>
  </si>
  <si>
    <t>Vốn ngoài nước (ODA)</t>
  </si>
  <si>
    <t>Vốn ngoài nước (vốn vay của Chương trình mở rộng quy mô vệ sinh nước sách nông thôn theo phương thức dựa trên kết quả, thực hiện GTGC theo tiến độ giải ngân và trong phạm vi dự toán được giao</t>
  </si>
  <si>
    <t>Chương trình Biển đông Hải đảo</t>
  </si>
  <si>
    <t>Hỗ trợ đầu tư hạ tầng khu công nghiệp</t>
  </si>
  <si>
    <t>Di dân khẩn cấp ra khỏi vùng lũ quét, sạt lỡ đất</t>
  </si>
  <si>
    <t>Vốn bổ sung thu hồi các khoản ứng trước 2010-2011</t>
  </si>
  <si>
    <t>Đầu tư chương trình đê biển từ Quãng Ngãi đến Kiên Giang</t>
  </si>
  <si>
    <t>Chương trình hồ chứa nước ngọt trên đảo đông dân cư</t>
  </si>
  <si>
    <t>Chương trình bố trí sắp xếp dân cư nơi cần thiết</t>
  </si>
  <si>
    <t>Chương trình bố trí khu dân cư</t>
  </si>
  <si>
    <t>Kinh phí đo đạc, lập bản đồ địa chính, cắm mốc giới sử dụng đất và cấp giấy chứng nhận quyền sử dụng đất cho các công ty nông, lâm nghiệp</t>
  </si>
  <si>
    <t>Hỗ trợ chi phí học tập đối với sinh viên là người dân tộc thiểu số thuộc hộ nghèo, cận nghèo học tại các cơ sở giáo dục đại học</t>
  </si>
  <si>
    <t>Vốn trái phiếu chính phủ</t>
  </si>
  <si>
    <t xml:space="preserve"> </t>
  </si>
  <si>
    <t xml:space="preserve">CHI BỔ SUNG QUỸ DỰ TRỮ TÀI CHÍNH </t>
  </si>
  <si>
    <t>Chi chương
trình mục tiêu nhiệm vụ Trung ương giao</t>
  </si>
  <si>
    <t>CHI TRẢ NỢ LÃI CÁC KHOẢN DO CHÍNH QUYỀN ĐỊA PHƯƠNG VAY</t>
  </si>
  <si>
    <t>Chi chương trình mục tiêu quốc gia</t>
  </si>
  <si>
    <t>Chi bổ sung ngân sách cấp dưới</t>
  </si>
  <si>
    <t>Chương trình MTQG Giảm nghèo bền vững</t>
  </si>
  <si>
    <t>Chương trình MTQG Xây dựng Nông thôn mới</t>
  </si>
  <si>
    <t>Chương trình MTQG Dân số - Kế hoạch hóa gia đình</t>
  </si>
  <si>
    <t>NỘI DUNG</t>
  </si>
  <si>
    <t>SO SÁNH (%)</t>
  </si>
  <si>
    <t>Chi Giáo dục - đào tạo và dạy nghề
(490)</t>
  </si>
  <si>
    <t>Chi Phát thanh, truyền hình, thông tấn
(250)</t>
  </si>
  <si>
    <t>Chi Bảo vệ môi trường (280)</t>
  </si>
  <si>
    <t>13=4/1</t>
  </si>
  <si>
    <t>14=5/2</t>
  </si>
  <si>
    <t>15=6/3</t>
  </si>
  <si>
    <t>Các cơ quan đơn vị của Tỉnh</t>
  </si>
  <si>
    <t xml:space="preserve">Văn phòng HĐND tỉnh </t>
  </si>
  <si>
    <t>Văn phòng UBND Tỉnh và đơn vị trực thuộc</t>
  </si>
  <si>
    <t>2.1</t>
  </si>
  <si>
    <t xml:space="preserve">VP.UBND tỉnh </t>
  </si>
  <si>
    <t>2.2</t>
  </si>
  <si>
    <t>Trung tâm Hội Nghị</t>
  </si>
  <si>
    <t>2.3</t>
  </si>
  <si>
    <t>Trung tâm Thông tin</t>
  </si>
  <si>
    <t>Ngành Nông nghiệp &amp; PTNT</t>
  </si>
  <si>
    <t>1.1</t>
  </si>
  <si>
    <t>Văn phòng Sở</t>
  </si>
  <si>
    <t>3.2</t>
  </si>
  <si>
    <t>Trung tâm Giống cây trồng</t>
  </si>
  <si>
    <t>1.2</t>
  </si>
  <si>
    <t>Trung tâm NC PT cây thanh long</t>
  </si>
  <si>
    <t>1.3</t>
  </si>
  <si>
    <t>Trung tâm Khuyến nông</t>
  </si>
  <si>
    <t>3.5</t>
  </si>
  <si>
    <t>Trung tâm Giống vật nuôi</t>
  </si>
  <si>
    <t>1.4</t>
  </si>
  <si>
    <t xml:space="preserve">Chi cục Phát triển nông thôn </t>
  </si>
  <si>
    <t>1.5</t>
  </si>
  <si>
    <t>Văn phòng Điều phối CT MTQG xây dựng NTM</t>
  </si>
  <si>
    <t>1.6</t>
  </si>
  <si>
    <t>Chi cục Trồng trọt và Bảo vệ thực vật</t>
  </si>
  <si>
    <t>3.9</t>
  </si>
  <si>
    <t>Chi cục Chăn nuôi và Thú y</t>
  </si>
  <si>
    <t>3.10</t>
  </si>
  <si>
    <t>Chi cục Thủy lợi</t>
  </si>
  <si>
    <t>1.7</t>
  </si>
  <si>
    <t>Trung tâm Nước sạch &amp; VSMTNT</t>
  </si>
  <si>
    <t>3.12</t>
  </si>
  <si>
    <t>Trung tâm QLDA và TVXD  công trình NN &amp; PTNT</t>
  </si>
  <si>
    <t>3.13</t>
  </si>
  <si>
    <t>Chi cục lâm nghiệp</t>
  </si>
  <si>
    <t>3.14</t>
  </si>
  <si>
    <t>BQL RPH Đức Linh</t>
  </si>
  <si>
    <t>3.15</t>
  </si>
  <si>
    <t>BQL RPH Hồng Phú</t>
  </si>
  <si>
    <t>3.16</t>
  </si>
  <si>
    <t>BQL RPH Sông Mao</t>
  </si>
  <si>
    <t>3.17</t>
  </si>
  <si>
    <t>BQL RPH Sông Móng Ca pét</t>
  </si>
  <si>
    <t>3.18</t>
  </si>
  <si>
    <t>BQL RPH Hàm Thuận Đa Mi</t>
  </si>
  <si>
    <t>3.19</t>
  </si>
  <si>
    <t>BQL RPH Sông Quao</t>
  </si>
  <si>
    <t>3.20</t>
  </si>
  <si>
    <t>BQL RPH Đông Giang</t>
  </si>
  <si>
    <t>3.21</t>
  </si>
  <si>
    <t>BQL RPH Trị An</t>
  </si>
  <si>
    <t>3.22</t>
  </si>
  <si>
    <t>BQL RPH La Ngà</t>
  </si>
  <si>
    <t>3.23</t>
  </si>
  <si>
    <t>BQL RPH Sông Lũy</t>
  </si>
  <si>
    <t>3.24</t>
  </si>
  <si>
    <t>BQL RPH Cà Giây</t>
  </si>
  <si>
    <t>3.25</t>
  </si>
  <si>
    <t>BQL RPH Phan Điền</t>
  </si>
  <si>
    <t>3.26</t>
  </si>
  <si>
    <t>BQL RPH Lòng Sông Đá bạc</t>
  </si>
  <si>
    <t>3.27</t>
  </si>
  <si>
    <t>BQL RPH Lê Hồng Phong</t>
  </si>
  <si>
    <t>3.28</t>
  </si>
  <si>
    <t>Trạm NLN Phú Quý</t>
  </si>
  <si>
    <t>3.29</t>
  </si>
  <si>
    <t>BQL RPH Tuy Phong</t>
  </si>
  <si>
    <t>3.30</t>
  </si>
  <si>
    <t>Chi cục Kiểm lâm</t>
  </si>
  <si>
    <t>3.31</t>
  </si>
  <si>
    <t xml:space="preserve"> Đội Kiểm lâm cơ động &amp; PCCC rừng tỉnh</t>
  </si>
  <si>
    <t>3.32</t>
  </si>
  <si>
    <t>Hạt KL Hàm Thuận Bắc</t>
  </si>
  <si>
    <t>3.33</t>
  </si>
  <si>
    <t>Hạt KL Bắc Bình</t>
  </si>
  <si>
    <t>3.34</t>
  </si>
  <si>
    <t>Hạt KL Hàm Thuận Nam</t>
  </si>
  <si>
    <t>3.35</t>
  </si>
  <si>
    <t>Hạt KL Lagi</t>
  </si>
  <si>
    <t>3.36</t>
  </si>
  <si>
    <t>Hạt KL Phan Thiết</t>
  </si>
  <si>
    <t>3.37</t>
  </si>
  <si>
    <t>Hạt KL Tuy phong</t>
  </si>
  <si>
    <t>3.38</t>
  </si>
  <si>
    <t>Hạt KL Hàm Tân</t>
  </si>
  <si>
    <t>3.39</t>
  </si>
  <si>
    <t>Hạt KL Tánh Linh</t>
  </si>
  <si>
    <t>3.40</t>
  </si>
  <si>
    <t>Hạt KL Đức Linh</t>
  </si>
  <si>
    <t>3.41</t>
  </si>
  <si>
    <t xml:space="preserve">Hạt Kiểm lâm Khu BTTN Núi Ông </t>
  </si>
  <si>
    <t>3.42</t>
  </si>
  <si>
    <t>BQL KBTTN Tà Kóu</t>
  </si>
  <si>
    <t>3.43</t>
  </si>
  <si>
    <t>BQL KBTTN Núi Ông</t>
  </si>
  <si>
    <t>3.44</t>
  </si>
  <si>
    <t>BQL Cảng cá Phan Thiết</t>
  </si>
  <si>
    <t>3.45</t>
  </si>
  <si>
    <t xml:space="preserve">Chi cục Quản lý chất lượng nông lâm thủy sản </t>
  </si>
  <si>
    <t>3.46</t>
  </si>
  <si>
    <t>Chi cục Thủy sản</t>
  </si>
  <si>
    <t>3.47</t>
  </si>
  <si>
    <t>BQL Khu BT biển Hòn Cau</t>
  </si>
  <si>
    <t>3.48</t>
  </si>
  <si>
    <t>Trung tâm Giống nông nghiệp</t>
  </si>
  <si>
    <t>Ngành Kế hoạch Đầu tư</t>
  </si>
  <si>
    <t>4.1</t>
  </si>
  <si>
    <t>Sở KH&amp;ĐT</t>
  </si>
  <si>
    <t>4.2</t>
  </si>
  <si>
    <t>Trung tâm HTDNNVV</t>
  </si>
  <si>
    <t>5.1</t>
  </si>
  <si>
    <t>5.2</t>
  </si>
  <si>
    <t>Trung tâm TGPL</t>
  </si>
  <si>
    <t>5.3</t>
  </si>
  <si>
    <t>Trung tâm Dịch vụ bán đấu giá</t>
  </si>
  <si>
    <t>Ngành Công thương</t>
  </si>
  <si>
    <t>6.1</t>
  </si>
  <si>
    <t>6.2</t>
  </si>
  <si>
    <t xml:space="preserve"> Chi cục quản lý thị trường tỉnh </t>
  </si>
  <si>
    <t>6.3</t>
  </si>
  <si>
    <t xml:space="preserve"> Trung tâm Xúc tiến thương mại tỉnh </t>
  </si>
  <si>
    <t xml:space="preserve">Ngành Khoa học Công nghệ </t>
  </si>
  <si>
    <t>7.1</t>
  </si>
  <si>
    <t xml:space="preserve">Văn phòng Sở </t>
  </si>
  <si>
    <t>8.1</t>
  </si>
  <si>
    <t>8.2</t>
  </si>
  <si>
    <t>Trung tâm Mua TS công</t>
  </si>
  <si>
    <t>Ngành Xây dựng</t>
  </si>
  <si>
    <t>9.1</t>
  </si>
  <si>
    <t>9.2</t>
  </si>
  <si>
    <t xml:space="preserve"> Thanh tra Sở Xây dựng </t>
  </si>
  <si>
    <t>9.3</t>
  </si>
  <si>
    <t>Trung tâm kiểm định xây dựng</t>
  </si>
  <si>
    <t>Ngành Giao thông Vận tải (có Ban ATGT)</t>
  </si>
  <si>
    <t>10.1</t>
  </si>
  <si>
    <t>10.2</t>
  </si>
  <si>
    <t>Thanh tra Sở Giao thông Vận tải</t>
  </si>
  <si>
    <t>10.3</t>
  </si>
  <si>
    <t>Ban Quản lý Cảng Phú Quý</t>
  </si>
  <si>
    <t>10.4</t>
  </si>
  <si>
    <t>Trung tâm Đăng kiểm xe cơ giới</t>
  </si>
  <si>
    <t>10.5</t>
  </si>
  <si>
    <t>Trung tâm QLDA và TVXD  công trình GT Bthuan</t>
  </si>
  <si>
    <t>10.6</t>
  </si>
  <si>
    <t>Ngành Giáo dục Đào tạo (có Trường CĐCĐ)</t>
  </si>
  <si>
    <t>11.2</t>
  </si>
  <si>
    <t>THPT Phan Bội Châu</t>
  </si>
  <si>
    <t>11.3</t>
  </si>
  <si>
    <t xml:space="preserve">THPT Trần Hưng Đạo </t>
  </si>
  <si>
    <t>11.4</t>
  </si>
  <si>
    <t xml:space="preserve">THPT Hòa Đa </t>
  </si>
  <si>
    <t>11.5</t>
  </si>
  <si>
    <t xml:space="preserve">THPT Tuy Phong </t>
  </si>
  <si>
    <t>11.6</t>
  </si>
  <si>
    <t xml:space="preserve">THPT Bắc Bình </t>
  </si>
  <si>
    <t>11.7</t>
  </si>
  <si>
    <t xml:space="preserve">THPT Nguyễn Thị Minh Khai </t>
  </si>
  <si>
    <t>11.8</t>
  </si>
  <si>
    <t xml:space="preserve">THPT Hàm Thuận Bắc </t>
  </si>
  <si>
    <t>11.9</t>
  </si>
  <si>
    <t xml:space="preserve">THPT Hàm Thuận Nam </t>
  </si>
  <si>
    <t>11.10</t>
  </si>
  <si>
    <t xml:space="preserve">THPT Nguyễn Văn Linh </t>
  </si>
  <si>
    <t>11.11</t>
  </si>
  <si>
    <t>THPT Lương Thế Vinh</t>
  </si>
  <si>
    <t>11.12</t>
  </si>
  <si>
    <t xml:space="preserve">THPT Nguyễn Trường Tộ </t>
  </si>
  <si>
    <t>11.13</t>
  </si>
  <si>
    <t xml:space="preserve">THPT Đức Tân </t>
  </si>
  <si>
    <t>11.14</t>
  </si>
  <si>
    <t xml:space="preserve">THPT Hàm Tân </t>
  </si>
  <si>
    <t>11.15</t>
  </si>
  <si>
    <t xml:space="preserve">THPT Bùi Thị Xuân </t>
  </si>
  <si>
    <t>11.16</t>
  </si>
  <si>
    <t xml:space="preserve">THPT Lý Thường Kiệt </t>
  </si>
  <si>
    <t>11.17</t>
  </si>
  <si>
    <t xml:space="preserve">THPT Đức Linh </t>
  </si>
  <si>
    <t>11.18</t>
  </si>
  <si>
    <t xml:space="preserve">THPT Quang Trung </t>
  </si>
  <si>
    <t>11.19</t>
  </si>
  <si>
    <t xml:space="preserve">THPT Hùng Vương </t>
  </si>
  <si>
    <t>11.20</t>
  </si>
  <si>
    <t xml:space="preserve">THPT Tánh Linh </t>
  </si>
  <si>
    <t>11.21</t>
  </si>
  <si>
    <t xml:space="preserve">THPT Nguyễn Văn Trỗi </t>
  </si>
  <si>
    <t>11.22</t>
  </si>
  <si>
    <t xml:space="preserve">THPT Phan Thiết </t>
  </si>
  <si>
    <t>11.23</t>
  </si>
  <si>
    <t xml:space="preserve">THPT Ngô Quyền </t>
  </si>
  <si>
    <t>11.24</t>
  </si>
  <si>
    <t xml:space="preserve">THPT Phan Chu Trinh </t>
  </si>
  <si>
    <t>11.25</t>
  </si>
  <si>
    <t>THPT Nguyễn Huệ</t>
  </si>
  <si>
    <t>11.26</t>
  </si>
  <si>
    <t xml:space="preserve">THPT Huỳnh Thúc Kháng </t>
  </si>
  <si>
    <t>11.27</t>
  </si>
  <si>
    <t>PTDân tộc nội trú</t>
  </si>
  <si>
    <t>11.28</t>
  </si>
  <si>
    <t xml:space="preserve"> Trường Cao đẳng Cộng đồng </t>
  </si>
  <si>
    <t>Ngành Y tế (bao gồm Ban BVCSSKCB và Hội KHHGĐ)</t>
  </si>
  <si>
    <t>3.1</t>
  </si>
  <si>
    <t>Chi cục dân số - KHHGĐ</t>
  </si>
  <si>
    <t>12.2</t>
  </si>
  <si>
    <t>Chi cục An toàn VSTP</t>
  </si>
  <si>
    <t>12.3</t>
  </si>
  <si>
    <t>Bệnh viện Lao và Bệnh phổi</t>
  </si>
  <si>
    <t>12.4</t>
  </si>
  <si>
    <t>Bệnh viện y học cổ truyền và phục hồi chức năng</t>
  </si>
  <si>
    <t>Trung tâm y tế dự phòng</t>
  </si>
  <si>
    <t>3.3</t>
  </si>
  <si>
    <t>Trung tâm CSSKSS</t>
  </si>
  <si>
    <t>12.7</t>
  </si>
  <si>
    <t>Trung tâm PC Sốt rét - Bướu cổ</t>
  </si>
  <si>
    <t>Ngành LĐ, TB&amp;XH</t>
  </si>
  <si>
    <t>Trung tâm Dịch vụ việc làm</t>
  </si>
  <si>
    <t>13.3</t>
  </si>
  <si>
    <t>Trung tâm Hỗ trợ người lang thang</t>
  </si>
  <si>
    <t>Ngành Văn hoá, Thể thao và Du lịch</t>
  </si>
  <si>
    <t>14.2</t>
  </si>
  <si>
    <t>Trung tâm Văn hóa</t>
  </si>
  <si>
    <t>14.3</t>
  </si>
  <si>
    <t>Trung tâm Phát hành phim và Chiếu bóng</t>
  </si>
  <si>
    <t>Ngành Tài nguyên và Môi trường</t>
  </si>
  <si>
    <t>15.1</t>
  </si>
  <si>
    <t xml:space="preserve">Ngành Thông tin và Truyền thông </t>
  </si>
  <si>
    <t>Sở Nội vụ</t>
  </si>
  <si>
    <t>17.2</t>
  </si>
  <si>
    <t>Ban Thi đua Khen thưởng</t>
  </si>
  <si>
    <t>Thanh tra Tỉnh</t>
  </si>
  <si>
    <t>Văn phòng Ban</t>
  </si>
  <si>
    <t xml:space="preserve"> Ủy ban Mặt trận tổ quốc tỉnh (bao gồm Hội Thân nhân Kiều bào)</t>
  </si>
  <si>
    <t xml:space="preserve"> VP. Ủy ban Mặt trận TQ tỉnh </t>
  </si>
  <si>
    <t>Trường Cao Y tế</t>
  </si>
  <si>
    <t>Quỹ Bảo trì đường bộ</t>
  </si>
  <si>
    <t>Huyện Tuy Phong</t>
  </si>
  <si>
    <t>Huyện Bắc Bình</t>
  </si>
  <si>
    <t>Huyện Hàm Thuận Bắc</t>
  </si>
  <si>
    <t>Huyện Hàm Thuận Nam</t>
  </si>
  <si>
    <t>Thị xã La Gi</t>
  </si>
  <si>
    <t>Huyện Hàm Tân</t>
  </si>
  <si>
    <t>Huyện Đức Linh</t>
  </si>
  <si>
    <t>Huyện Tánh Linh</t>
  </si>
  <si>
    <t>Huyện Phú Quý</t>
  </si>
  <si>
    <t>17=8/3</t>
  </si>
  <si>
    <t xml:space="preserve">Nội dung </t>
  </si>
  <si>
    <t>4=5+8+11+14</t>
  </si>
  <si>
    <t xml:space="preserve">Tên đơn vị </t>
  </si>
  <si>
    <t>Phan Thiết</t>
  </si>
  <si>
    <t>Chương trình mục tiêu phát triển lâm nghiệp bền vững</t>
  </si>
  <si>
    <t>Ban đại diện người cao tuổi</t>
  </si>
  <si>
    <t>Đơn vị khác</t>
  </si>
  <si>
    <t>Thu từ
ngân sách
cấp dưới
nộp lên</t>
  </si>
  <si>
    <t xml:space="preserve">                                                                                                                                                                                                                        Đvt: triệu đồng</t>
  </si>
  <si>
    <t>Văn phòng HĐND tỉnh</t>
  </si>
  <si>
    <t>TỔNG NGUỒN THU NSNN (A+B+C+D+E+F)</t>
  </si>
  <si>
    <t xml:space="preserve">C </t>
  </si>
  <si>
    <t>THU BỔ SUNG NGÂN SÁCH CẤP TRÊN</t>
  </si>
  <si>
    <t>F</t>
  </si>
  <si>
    <t>THU TỪ NGÂN SÁCH CẤP DƯỚI NỘP LÊN</t>
  </si>
  <si>
    <t>Kết dư ngân sách cấp tỉnh</t>
  </si>
  <si>
    <t>Kết dư ngân sách huyện, thị xã, thành phố</t>
  </si>
  <si>
    <t>Nguồn thu ngân sách cấp tỉnh</t>
  </si>
  <si>
    <t>QUYẾT TOÁN CÂN ĐỐI NGÂN SÁCH ĐỊA PHƯƠNG NĂM 2018</t>
  </si>
  <si>
    <t>QUYẾT TOÁN CÂN ĐỐI NGUỒN THU, CHI NGÂN SÁCH CẤP TỈNH VÀ NGÂN SÁCH HUYỆN, THỊ XÃ, THÀNH PHỐ NĂM 2018</t>
  </si>
  <si>
    <t>QUYẾT TOÁN CHI NGÂN SÁCH ĐỊA PHƯƠNG THEO LĨNH VỰC NĂM 2018</t>
  </si>
  <si>
    <r>
      <t xml:space="preserve">Chi đầu tư phát triển </t>
    </r>
    <r>
      <rPr>
        <sz val="8"/>
        <rFont val="Times New Roman"/>
        <family val="1"/>
      </rPr>
      <t>(Không kể chương trình MTQG)</t>
    </r>
  </si>
  <si>
    <r>
      <t xml:space="preserve">Chi thường xuyên </t>
    </r>
    <r>
      <rPr>
        <sz val="8"/>
        <rFont val="Times New Roman"/>
        <family val="1"/>
      </rPr>
      <t>(Không kể chương trình MTQG)</t>
    </r>
  </si>
  <si>
    <t>Ngành giáo dục đào tạo (có trường CĐCĐ)</t>
  </si>
  <si>
    <t>QUYẾT TOÁN CHI NGÂN SÁCH CẤP TỈNH CHO TỪNG CƠ QUAN, TỔ CHỨC THEO LĨNH VỰC NĂM 2018</t>
  </si>
  <si>
    <t>QUYẾT TOÁN CHI BỔ SUNG TỪ NGÂN SÁCH CẤP TỈNH CHO NGÂN SÁCH TỪNG HUYỆN NĂM 2018</t>
  </si>
  <si>
    <t>Thu khác</t>
  </si>
  <si>
    <t>Thu hồi vốn, lợi nhuận, lợi nhuận sau thuế</t>
  </si>
  <si>
    <t>Dự toán năm 2018</t>
  </si>
  <si>
    <t>QUYẾT TOÁN CHI CHƯƠNG TRÌNH MỤC TIÊU QUỐC GIA NĂM 2018</t>
  </si>
  <si>
    <t>QUYẾT TOÁN THU NGÂN SÁCH HUYỆN NĂM 2018</t>
  </si>
  <si>
    <t>QUYẾT TOÁN CHI NGÂN SÁCH CẤP TỈNH THEO LĨNH VỰC NĂM 2018</t>
  </si>
  <si>
    <t>QUYẾT TOÁN CHI NGÂN SÁCH ĐỊA PHƯƠNG TỪNG HUYỆN, THỊ XÃ, THÀNH PHỐ NĂM 2018</t>
  </si>
  <si>
    <t>QUYẾT TOÁN NGUỒN THU NGÂN SÁCH NHÀ NƯỚC TRÊN ĐỊA BÀN THEO LĨNH VỰC NĂM 2018</t>
  </si>
  <si>
    <t>QUYẾT TOÁN CHI NGÂN SÁCH ĐỊA PHƯƠNG, CHI NGÂN SÁCH CẤP TỈNH  VÀ CHI NGÂN SÁCH HUYỆN 
THEO CƠ CẤU CHI NĂM 2018</t>
  </si>
  <si>
    <t>DỰ TOÁN 2018</t>
  </si>
  <si>
    <t xml:space="preserve">                                      Đơn vị: Triệu đồng</t>
  </si>
  <si>
    <r>
      <t>Chi Y tế, dân số và gia đình (520,</t>
    </r>
    <r>
      <rPr>
        <sz val="9"/>
        <color indexed="10"/>
        <rFont val="Times New Roman"/>
        <family val="1"/>
      </rPr>
      <t xml:space="preserve"> trừ 1 số khoản</t>
    </r>
    <r>
      <rPr>
        <sz val="9"/>
        <rFont val="Times New Roman"/>
        <family val="1"/>
      </rPr>
      <t>)</t>
    </r>
  </si>
  <si>
    <r>
      <t xml:space="preserve">Chi Văn hóa thông tin (550, </t>
    </r>
    <r>
      <rPr>
        <sz val="9"/>
        <color indexed="10"/>
        <rFont val="Times New Roman"/>
        <family val="1"/>
      </rPr>
      <t>trừ 1 số khoản</t>
    </r>
    <r>
      <rPr>
        <sz val="9"/>
        <rFont val="Times New Roman"/>
        <family val="1"/>
      </rPr>
      <t>)</t>
    </r>
  </si>
  <si>
    <r>
      <t>Chi Thể dục thể thao (</t>
    </r>
    <r>
      <rPr>
        <sz val="9"/>
        <color indexed="10"/>
        <rFont val="Times New Roman"/>
        <family val="1"/>
      </rPr>
      <t>550-562</t>
    </r>
    <r>
      <rPr>
        <sz val="9"/>
        <rFont val="Times New Roman"/>
        <family val="1"/>
      </rPr>
      <t>)</t>
    </r>
  </si>
  <si>
    <r>
      <t>Chi các hoạt động kinh tế (010, 070,160,  220,</t>
    </r>
    <r>
      <rPr>
        <sz val="9"/>
        <color indexed="10"/>
        <rFont val="Times New Roman"/>
        <family val="1"/>
      </rPr>
      <t xml:space="preserve"> 430</t>
    </r>
    <r>
      <rPr>
        <sz val="9"/>
        <rFont val="Times New Roman"/>
        <family val="1"/>
      </rPr>
      <t xml:space="preserve">) </t>
    </r>
  </si>
  <si>
    <r>
      <t xml:space="preserve">Chi hoạt động của các cơ quan quản lý nhà nước, đảng, đoàn thể (460, </t>
    </r>
    <r>
      <rPr>
        <sz val="9"/>
        <color indexed="10"/>
        <rFont val="Times New Roman"/>
        <family val="1"/>
      </rPr>
      <t>trừ 1 số khoản</t>
    </r>
    <r>
      <rPr>
        <sz val="9"/>
        <rFont val="Times New Roman"/>
        <family val="1"/>
      </rPr>
      <t>)</t>
    </r>
  </si>
  <si>
    <r>
      <t>Chi Bảo đảm xã hội
(</t>
    </r>
    <r>
      <rPr>
        <sz val="9"/>
        <color indexed="10"/>
        <rFont val="Times New Roman"/>
        <family val="1"/>
      </rPr>
      <t>460-474</t>
    </r>
    <r>
      <rPr>
        <sz val="9"/>
        <rFont val="Times New Roman"/>
        <family val="1"/>
      </rPr>
      <t xml:space="preserve">, </t>
    </r>
    <r>
      <rPr>
        <sz val="9"/>
        <color indexed="10"/>
        <rFont val="Times New Roman"/>
        <family val="1"/>
      </rPr>
      <t>520-527; 520-528; 520-531; 520-533</t>
    </r>
    <r>
      <rPr>
        <sz val="9"/>
        <rFont val="Times New Roman"/>
        <family val="1"/>
      </rPr>
      <t>)</t>
    </r>
  </si>
  <si>
    <r>
      <t xml:space="preserve">Ban An toàn Giao thông
</t>
    </r>
    <r>
      <rPr>
        <sz val="9"/>
        <color indexed="10"/>
        <rFont val="Times New Roman"/>
        <family val="1"/>
      </rPr>
      <t>(không khoán chi)</t>
    </r>
  </si>
  <si>
    <t>Chương trình MTQG về văn hoá</t>
  </si>
  <si>
    <t>Chương trình mục tiêu hỗ trợ vốn đối ứng ODA cho các địa phương</t>
  </si>
  <si>
    <t>Chương trình mục tiêu phát triển kinh tế - xã hội các vùng</t>
  </si>
  <si>
    <t>Chương trình mục tiêu phát triển kinh tế thuỷ sản bền vững</t>
  </si>
  <si>
    <t>Thu hồi các dự án không thuộc các chương trình mục tiêu quy định tại Nghị quyết số 1023/NQ-UBTVQH13 và QĐ số 40</t>
  </si>
  <si>
    <t>Mua thiết bị chiếu phim và ô tô chuyên dùng</t>
  </si>
  <si>
    <t>Hỗ trợ các hội văn học nghệ thuật</t>
  </si>
  <si>
    <t>Hỗ trợ các Hội Nhà báo</t>
  </si>
  <si>
    <t>Hỗ trợ kinh phí đào tạo cán bộ quân sự cấp xã, kinh phí đào tạo cán bộ cơ sở vùng Tây Nguyên; hỗ trợ kinh phí thực hiện Đề án củng cố, tăng cường cán bộ dân tộc Mông</t>
  </si>
  <si>
    <t>Hỗ trợ trợ giá cho người dân tộc thiểu số nghèo ở vùng khó khăn; hỗ trợ chính sách đối với người có uy tín trong đồng bào dân tộc thiểu số; hỗ trợ tổ chức, đơn vị sử dụng lao động là người dân tộc thiểu số</t>
  </si>
  <si>
    <t>Hỗ trợ tiền điện hộ nghèo, hộ chính sách xã hội</t>
  </si>
  <si>
    <t xml:space="preserve">Kinh phí thực hiện nhiệm vụ đảm bảo trật tự an toàn giao thông </t>
  </si>
  <si>
    <t>Hỗ trợ khai thác nuôi trồng hải sản trên vùng biển xa</t>
  </si>
  <si>
    <t>Kinh phí chuyển đổi từ trồng lúa sang trồng ngô; kinh phí nâng cấp đô thị, hỗ trợ kinh phí thực hiện đề án tăng cường công tác quản lý khai thác gỗ rừng tự nhiên</t>
  </si>
  <si>
    <t xml:space="preserve">Chương trình mục tiêu phát triển hệ thống trợ giúp xã hội </t>
  </si>
  <si>
    <t>Chương trình mục tiêu đảm bảo trật tự an toàn giao thông</t>
  </si>
  <si>
    <t>Chương trình mục tiêu phát triển văn hoá</t>
  </si>
  <si>
    <t>Chương trình mục tiêu nước sạch và vệ sinh môi trường nông thôn</t>
  </si>
  <si>
    <t>Bổ sung kinh phí đô thị loại III của thị xã La Gi năm 2018 theo công văn số 2142/BTC-NSNN ngày 23/02/2018</t>
  </si>
  <si>
    <t>Kinh phí quản lý, bảo trì đường bộ địa phương năm 2018 theo công văn số 5101/BTC-HCSN ngày 04/5/2018 và 4659/BTC-HCSN ngày 23/4/2018</t>
  </si>
  <si>
    <t>Kinh phí khắc phục hậu quả hạn hán, xâm nhập mặn vụ Đông Xuân năm 2017-2018 theo quyết định số 506/QĐ-TTg theo Công văn số 6177/BTC-NSNN ngày 28/5/2018</t>
  </si>
  <si>
    <t xml:space="preserve">Hỗ trợ kinh phí chuyển đổi từ trồng lúa sang trồng ngô; kinh phí nâng cấp đô thị, hỗ trợ kinh phí thực hiện đề án tăng trưởng công tác quản lý khai thác rừng gỗ tự nhiên </t>
  </si>
  <si>
    <t>Kinh phí hỗ trợ khôi phục sản xuất vùng bị thiệt hại do thiên tai gây ra theo Công văn số 2140/BTC-HCSN ngày 23/02/2018</t>
  </si>
  <si>
    <t>Kiên cố hoá trường lớp học mầm non, tiểu học</t>
  </si>
  <si>
    <t>Hỗ trợ chi phí học tập và miễn giảm học phí</t>
  </si>
  <si>
    <t>Hỗ trợ kinh phí ăn trưa cho trẻ em từ 3 - 5 tuổi, chính sách ưu tiên đối với học sinh mẫu giáo, học sinh dân tộc rất ít người</t>
  </si>
  <si>
    <t xml:space="preserve">Kinh phí hỗ trợ cho học sinh THPT ở vùng có điều kiện kinh tế xã hội đặc biệt khó khăn </t>
  </si>
  <si>
    <t>Kinh phí thực hiện chính sách giáo dục đối với người khuyết tật thuộc hộ nghèo, cận nghèo theo thông tư 42</t>
  </si>
  <si>
    <t>Kinh phí đào tạo nghề lao động nông thôn</t>
  </si>
  <si>
    <t>Kinh phí SEQUAP</t>
  </si>
  <si>
    <t>Hỗ trợ đầu tư Y tế tỉnh huyện và Trung tâm y tế</t>
  </si>
  <si>
    <t>Hỗ trợ đầu tư khác, bức xúc, xử lý đê kè, PCLB giảm nhẹ thiên tai</t>
  </si>
  <si>
    <t>Kinh phí thưởng phong trào xây dựng nông thôn mới</t>
  </si>
  <si>
    <t>Hỗ trợ nhà ở cho người có công cách mạng</t>
  </si>
  <si>
    <t xml:space="preserve">Thực hiện chính sách định canh định cư </t>
  </si>
  <si>
    <t>Hỗ trợ chính sách phát triển thuỷ sản theo Nghị định số 67/2014/NĐ-CP</t>
  </si>
  <si>
    <t>Đầu tư hạ tầng giống nông nghiệp - thuỷ sản</t>
  </si>
  <si>
    <t>Chương trình mục tiêu y tế - Dân số năm 2016, 2017 và năm 2018</t>
  </si>
  <si>
    <t>Hỗ trợ các Hội văn học nghệ thuật</t>
  </si>
  <si>
    <t>19=7/1</t>
  </si>
  <si>
    <t>20=8/2</t>
  </si>
  <si>
    <t>21=9/3</t>
  </si>
  <si>
    <r>
      <rPr>
        <b/>
        <i/>
        <sz val="12"/>
        <color rgb="FF000000"/>
        <rFont val="Times New Roman"/>
        <family val="1"/>
      </rPr>
      <t>* Ghi chú:</t>
    </r>
    <r>
      <rPr>
        <i/>
        <sz val="12"/>
        <color rgb="FF000000"/>
        <rFont val="Times New Roman"/>
        <family val="1"/>
      </rPr>
      <t xml:space="preserve"> Một số khoản chi ngân sách tỉnh không đạt so với dự toán HĐND tỉnh giao là do trong năm ngân sách tỉnh cấp bổ sung có mục tiêu cho ngân sách cấp huyện và ngân sách cấp huyện thực hiện thanh toán và quyết toán ngân sách cấp huyện (không thực hiện quyết toán ngân sách cấp tỉnh).</t>
    </r>
  </si>
  <si>
    <t>Biểu số 01</t>
  </si>
  <si>
    <t>Biểu số 02</t>
  </si>
  <si>
    <t>Biểu số 03</t>
  </si>
  <si>
    <t>Biểu số 04</t>
  </si>
  <si>
    <t>Biểu số 05</t>
  </si>
  <si>
    <t>Biểu số 06</t>
  </si>
  <si>
    <t>Biểu số 07</t>
  </si>
  <si>
    <t>Biểu số 08</t>
  </si>
  <si>
    <t xml:space="preserve">                                                        Biểu số 09</t>
  </si>
  <si>
    <t xml:space="preserve">             Biểu số 10</t>
  </si>
  <si>
    <t xml:space="preserve">                                Biểu số 11</t>
  </si>
  <si>
    <t>(Ban hành kèm theo Nghị quyết số  94  /NQ-HĐND ngày  19 tháng 12 năm 2019 của HĐND tỉnh)</t>
  </si>
  <si>
    <t>(Ban hành kèm theo Nghị quyết số 94 /NQ-HĐND ngày 19 tháng 12 năm 2019 của HĐND tỉnh)</t>
  </si>
  <si>
    <t>( Ban hành kèm theo Nghị quyết  số  94 /NQ-HĐND ngày  19  tháng 12 năm 2019 của HĐND tỉnh)</t>
  </si>
  <si>
    <t>(Ban hành kèm theo Nghị quyết số  94 /NQ-HĐND ngày 19 tháng 12 năm 2019 của HĐND tỉnh)</t>
  </si>
  <si>
    <t>(Ban hành kèm theo Nghị quyết số  94 /NQ-HĐND ngày  19 tháng 12 năm 2019 của HĐND tỉnh)</t>
  </si>
  <si>
    <t>(Ban hành kèm theo Nghị quyết số  94 /NQ-HĐND  ngày 19 tháng 12 năm 2019 của HĐND tỉnh)</t>
  </si>
  <si>
    <t>(Ban hành kèm theo Nghị quyết số  94 /NQ-HĐND ngày  19  tháng  12  năm 2019 của HĐND tỉnh)</t>
  </si>
  <si>
    <t>(Ban hành kèm theo Nghị quyết số  94  /NQ-HĐND ngày 19 tháng 12 năm 2019 của HĐND tỉnh)</t>
  </si>
  <si>
    <t>(Ban hành Kèm theo Nghị quyết số 94  /NQ-HĐND ngày  19  tháng 12 năm 2019 của HĐND tỉnh)</t>
  </si>
  <si>
    <t>(Ban hành kèm theo Nghị quyết số 94 /NQ-HĐND ngày 19  tháng 12 năm 2019 của HĐND tỉnh)</t>
  </si>
  <si>
    <t>(Kèm theo Nghị quyết số 94 /NQ-UBND ngày 19 tháng 12 năm 2019 của HĐND tỉnh)</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</si>
</sst>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charset val="163"/>
      <scheme val="minor"/>
    </font>
    <font>
      <sz val="11"/>
      <color theme="1"/>
      <name val="Calibri"/>
      <family val="2"/>
      <scheme val="minor"/>
    </font>
    <font>
      <sz val="11"/>
      <color theme="1"/>
      <name val="Times New Roman"/>
      <family val="1"/>
    </font>
    <font>
      <b/>
      <sz val="12"/>
      <color rgb="FF000000"/>
      <name val="Times New Roman"/>
      <family val="1"/>
    </font>
    <font>
      <i/>
      <sz val="12"/>
      <color rgb="FF000000"/>
      <name val="Times New Roman"/>
      <family val="1"/>
    </font>
    <font>
      <sz val="12"/>
      <color rgb="FF000000"/>
      <name val="Times New Roman"/>
      <family val="1"/>
    </font>
    <font>
      <b/>
      <i/>
      <sz val="12"/>
      <color rgb="FF000000"/>
      <name val="Times New Roman"/>
      <family val="1"/>
    </font>
    <font>
      <sz val="12"/>
      <color theme="1"/>
      <name val="Times New Roman"/>
      <family val="1"/>
    </font>
    <font>
      <b/>
      <sz val="12"/>
      <color rgb="FF000000"/>
      <name val="Times New Roman"/>
      <family val="1"/>
      <charset val="163"/>
    </font>
    <font>
      <sz val="12"/>
      <color rgb="FF000000"/>
      <name val="Times New Roman"/>
      <family val="1"/>
      <charset val="163"/>
    </font>
    <font>
      <b/>
      <sz val="11"/>
      <color theme="1"/>
      <name val="Cambria"/>
      <family val="1"/>
      <charset val="163"/>
      <scheme val="major"/>
    </font>
    <font>
      <b/>
      <sz val="12"/>
      <color theme="1"/>
      <name val="Cambria"/>
      <family val="1"/>
      <charset val="163"/>
      <scheme val="major"/>
    </font>
    <font>
      <i/>
      <sz val="12"/>
      <color rgb="FF000000"/>
      <name val="Times New Roman"/>
      <family val="1"/>
      <charset val="163"/>
    </font>
    <font>
      <i/>
      <sz val="12"/>
      <name val="Times New Roman"/>
      <family val="1"/>
      <charset val="163"/>
    </font>
    <font>
      <i/>
      <sz val="13"/>
      <color rgb="FF000000"/>
      <name val="Times New Roman"/>
      <family val="1"/>
      <charset val="163"/>
    </font>
    <font>
      <i/>
      <sz val="10"/>
      <color rgb="FF000000"/>
      <name val="Times New Roman"/>
      <family val="1"/>
    </font>
    <font>
      <b/>
      <sz val="8"/>
      <color rgb="FF000000"/>
      <name val="Times New Roman"/>
      <family val="1"/>
    </font>
    <font>
      <sz val="8"/>
      <color rgb="FF000000"/>
      <name val="Times New Roman"/>
      <family val="1"/>
    </font>
    <font>
      <b/>
      <sz val="11"/>
      <color theme="1"/>
      <name val="Times New Roman"/>
      <family val="1"/>
    </font>
    <font>
      <sz val="8"/>
      <color theme="1"/>
      <name val="Times New Roman"/>
      <family val="1"/>
    </font>
    <font>
      <b/>
      <i/>
      <sz val="10"/>
      <color rgb="FF000000"/>
      <name val="Times New Roman"/>
      <family val="1"/>
    </font>
    <font>
      <b/>
      <sz val="8"/>
      <color rgb="FF000000"/>
      <name val="Times New Roman"/>
      <family val="1"/>
      <charset val="163"/>
    </font>
    <font>
      <b/>
      <sz val="12"/>
      <color theme="1"/>
      <name val="Times New Roman"/>
      <family val="1"/>
      <charset val="163"/>
    </font>
    <font>
      <sz val="12"/>
      <color theme="1"/>
      <name val="Cambria"/>
      <family val="1"/>
      <charset val="163"/>
      <scheme val="major"/>
    </font>
    <font>
      <b/>
      <sz val="13"/>
      <color rgb="FF000000"/>
      <name val="Times New Roman"/>
      <family val="1"/>
    </font>
    <font>
      <b/>
      <sz val="8"/>
      <name val="Times New Roman"/>
      <family val="1"/>
    </font>
    <font>
      <sz val="8"/>
      <name val="Times New Roman"/>
      <family val="1"/>
    </font>
    <font>
      <i/>
      <sz val="8"/>
      <name val="Times New Roman"/>
      <family val="1"/>
    </font>
    <font>
      <b/>
      <sz val="12"/>
      <color theme="1"/>
      <name val="Times New Roman"/>
      <family val="1"/>
    </font>
    <font>
      <i/>
      <sz val="12"/>
      <name val="Times New Roman"/>
      <family val="1"/>
    </font>
    <font>
      <sz val="13"/>
      <name val="Times New Roman"/>
      <family val="1"/>
    </font>
    <font>
      <b/>
      <u/>
      <sz val="13"/>
      <name val="Times New Roman"/>
      <family val="1"/>
    </font>
    <font>
      <b/>
      <sz val="12"/>
      <name val="Times New Roman"/>
      <family val="1"/>
    </font>
    <font>
      <sz val="10"/>
      <name val="Times New Roman"/>
      <family val="1"/>
    </font>
    <font>
      <sz val="9"/>
      <name val="Times New Roman"/>
      <family val="1"/>
    </font>
    <font>
      <b/>
      <sz val="9"/>
      <name val="Times New Roman"/>
      <family val="1"/>
    </font>
    <font>
      <sz val="9"/>
      <color indexed="10"/>
      <name val="Times New Roman"/>
      <family val="1"/>
    </font>
    <font>
      <sz val="11"/>
      <name val="Times New Roman"/>
      <family val="1"/>
    </font>
    <font>
      <i/>
      <sz val="9"/>
      <name val="Times New Roman"/>
      <family val="1"/>
    </font>
    <font>
      <i/>
      <sz val="11"/>
      <name val="Times New Roman"/>
      <family val="1"/>
    </font>
    <font>
      <sz val="9"/>
      <color rgb="FF000000"/>
      <name val="Times New Roman"/>
      <family val="1"/>
    </font>
    <font>
      <b/>
      <sz val="11"/>
      <name val="Times New Roman"/>
      <family val="1"/>
    </font>
    <font>
      <sz val="12"/>
      <name val="Times New Roman"/>
      <family val="1"/>
    </font>
    <font>
      <sz val="12"/>
      <color rgb="FFFF0000"/>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10">
    <xf numFmtId="0" fontId="0" fillId="0" borderId="0" xfId="0"/>
    <xf numFmtId="0" fontId="3" fillId="0" borderId="0" xfId="0" applyFont="1" applyAlignment="1">
      <alignment horizontal="right" vertical="center"/>
    </xf>
    <xf numFmtId="0" fontId="4" fillId="0" borderId="0" xfId="0" applyFont="1" applyAlignment="1">
      <alignment horizontal="right" vertical="center"/>
    </xf>
    <xf numFmtId="0" fontId="6" fillId="0" borderId="0" xfId="0" applyFont="1" applyAlignment="1">
      <alignment horizontal="left"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0" fillId="0" borderId="0" xfId="0" applyFont="1"/>
    <xf numFmtId="0" fontId="0" fillId="0" borderId="0" xfId="0" applyAlignment="1">
      <alignment horizontal="left"/>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4" fontId="8" fillId="0" borderId="1" xfId="0" applyNumberFormat="1" applyFont="1" applyBorder="1" applyAlignment="1">
      <alignment horizontal="right" vertical="center" wrapText="1"/>
    </xf>
    <xf numFmtId="3" fontId="0" fillId="0" borderId="0" xfId="0" applyNumberFormat="1"/>
    <xf numFmtId="4" fontId="9"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0" fillId="0" borderId="0" xfId="0" applyAlignment="1"/>
    <xf numFmtId="0" fontId="11" fillId="0" borderId="0" xfId="0" applyFont="1" applyAlignment="1"/>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12" fillId="0" borderId="1" xfId="0" applyNumberFormat="1" applyFont="1" applyBorder="1" applyAlignment="1">
      <alignment horizontal="right" vertical="center" wrapText="1"/>
    </xf>
    <xf numFmtId="4" fontId="5" fillId="0" borderId="1" xfId="0" applyNumberFormat="1" applyFont="1" applyBorder="1" applyAlignment="1">
      <alignment horizontal="center" vertical="center" wrapText="1"/>
    </xf>
    <xf numFmtId="4" fontId="12" fillId="0" borderId="1" xfId="0" applyNumberFormat="1" applyFont="1" applyBorder="1" applyAlignment="1">
      <alignment horizontal="right"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3" fontId="5" fillId="0" borderId="1" xfId="0" applyNumberFormat="1" applyFont="1" applyBorder="1" applyAlignment="1">
      <alignment vertical="center" wrapText="1"/>
    </xf>
    <xf numFmtId="3" fontId="8" fillId="0" borderId="1" xfId="0" applyNumberFormat="1" applyFont="1" applyBorder="1" applyAlignment="1">
      <alignment vertical="center" wrapText="1"/>
    </xf>
    <xf numFmtId="3" fontId="9" fillId="0" borderId="4" xfId="0" applyNumberFormat="1" applyFont="1" applyBorder="1" applyAlignment="1">
      <alignment vertical="center" wrapText="1"/>
    </xf>
    <xf numFmtId="0" fontId="12" fillId="0" borderId="1" xfId="0" quotePrefix="1" applyFont="1" applyBorder="1" applyAlignment="1">
      <alignment vertical="center" wrapText="1"/>
    </xf>
    <xf numFmtId="3" fontId="12" fillId="0" borderId="1" xfId="0" applyNumberFormat="1" applyFont="1" applyBorder="1" applyAlignment="1">
      <alignment vertical="center" wrapText="1"/>
    </xf>
    <xf numFmtId="3" fontId="9" fillId="0" borderId="1" xfId="0" applyNumberFormat="1" applyFont="1" applyBorder="1" applyAlignment="1">
      <alignment vertical="center" wrapText="1"/>
    </xf>
    <xf numFmtId="3" fontId="3"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4" fontId="5" fillId="0" borderId="1" xfId="0" applyNumberFormat="1"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3" fontId="5" fillId="0" borderId="0" xfId="0" applyNumberFormat="1" applyFont="1" applyBorder="1" applyAlignment="1">
      <alignment horizontal="center" vertical="center" wrapText="1"/>
    </xf>
    <xf numFmtId="3" fontId="8" fillId="0" borderId="0" xfId="0" applyNumberFormat="1" applyFont="1" applyBorder="1" applyAlignment="1">
      <alignment horizontal="righ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vertical="center" wrapText="1"/>
    </xf>
    <xf numFmtId="0" fontId="3" fillId="0" borderId="0" xfId="0" applyFont="1" applyFill="1" applyBorder="1" applyAlignment="1">
      <alignment vertical="center" wrapText="1"/>
    </xf>
    <xf numFmtId="0" fontId="13"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shrinkToFit="1"/>
    </xf>
    <xf numFmtId="0" fontId="9" fillId="0" borderId="1" xfId="0" applyFont="1" applyBorder="1" applyAlignment="1">
      <alignment horizontal="left" vertical="center" wrapText="1"/>
    </xf>
    <xf numFmtId="0" fontId="13" fillId="0" borderId="0" xfId="0" applyNumberFormat="1" applyFont="1" applyBorder="1" applyAlignment="1"/>
    <xf numFmtId="0" fontId="13" fillId="0" borderId="0" xfId="0" applyNumberFormat="1" applyFont="1" applyBorder="1" applyAlignment="1">
      <alignment horizontal="center"/>
    </xf>
    <xf numFmtId="4" fontId="8" fillId="0" borderId="1" xfId="0" applyNumberFormat="1" applyFont="1" applyBorder="1" applyAlignment="1">
      <alignment vertical="center" wrapText="1"/>
    </xf>
    <xf numFmtId="0" fontId="5" fillId="0" borderId="1" xfId="0" applyFont="1" applyBorder="1" applyAlignment="1">
      <alignment vertical="center" shrinkToFit="1"/>
    </xf>
    <xf numFmtId="0" fontId="3" fillId="0" borderId="1" xfId="0" applyFont="1" applyBorder="1" applyAlignment="1">
      <alignment vertical="center" shrinkToFit="1"/>
    </xf>
    <xf numFmtId="3" fontId="8" fillId="0" borderId="1" xfId="0" applyNumberFormat="1" applyFont="1" applyBorder="1" applyAlignment="1">
      <alignment vertical="center" shrinkToFit="1"/>
    </xf>
    <xf numFmtId="4" fontId="12" fillId="0" borderId="1" xfId="0" applyNumberFormat="1" applyFont="1" applyBorder="1" applyAlignment="1">
      <alignment vertical="center" wrapText="1"/>
    </xf>
    <xf numFmtId="0" fontId="13" fillId="0" borderId="0" xfId="0" applyNumberFormat="1" applyFont="1" applyBorder="1" applyAlignment="1">
      <alignment horizontal="center"/>
    </xf>
    <xf numFmtId="3" fontId="5" fillId="0" borderId="0" xfId="0" applyNumberFormat="1" applyFont="1" applyBorder="1" applyAlignment="1">
      <alignment horizontal="right"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xf>
    <xf numFmtId="0" fontId="23" fillId="0" borderId="1" xfId="0" applyFont="1" applyBorder="1"/>
    <xf numFmtId="3" fontId="0" fillId="0" borderId="0" xfId="0" applyNumberFormat="1" applyAlignment="1">
      <alignment horizontal="right"/>
    </xf>
    <xf numFmtId="0" fontId="0" fillId="0" borderId="0" xfId="0" applyAlignment="1">
      <alignment horizontal="center"/>
    </xf>
    <xf numFmtId="0" fontId="13" fillId="0" borderId="0" xfId="0" applyNumberFormat="1" applyFont="1" applyBorder="1" applyAlignment="1">
      <alignment horizontal="center"/>
    </xf>
    <xf numFmtId="0" fontId="23" fillId="0" borderId="0" xfId="0" applyFont="1"/>
    <xf numFmtId="0" fontId="3" fillId="0" borderId="0" xfId="0" applyFont="1" applyAlignment="1">
      <alignment vertical="center" wrapText="1"/>
    </xf>
    <xf numFmtId="0" fontId="13" fillId="0" borderId="0" xfId="0" applyNumberFormat="1" applyFont="1" applyBorder="1" applyAlignment="1">
      <alignment horizontal="center"/>
    </xf>
    <xf numFmtId="3" fontId="2" fillId="0" borderId="0" xfId="0" applyNumberFormat="1" applyFont="1" applyFill="1"/>
    <xf numFmtId="3" fontId="14" fillId="0" borderId="0" xfId="0" applyNumberFormat="1" applyFont="1" applyFill="1" applyAlignment="1">
      <alignment horizontal="center" vertical="center"/>
    </xf>
    <xf numFmtId="3" fontId="7" fillId="0" borderId="0" xfId="0" applyNumberFormat="1" applyFont="1" applyFill="1"/>
    <xf numFmtId="3" fontId="15" fillId="0" borderId="0" xfId="0" applyNumberFormat="1" applyFont="1" applyFill="1" applyAlignment="1">
      <alignment horizontal="right" vertical="center"/>
    </xf>
    <xf numFmtId="3" fontId="16" fillId="0" borderId="1" xfId="0" applyNumberFormat="1" applyFont="1" applyFill="1" applyBorder="1" applyAlignment="1">
      <alignment vertical="center" wrapText="1"/>
    </xf>
    <xf numFmtId="3" fontId="21" fillId="0" borderId="1" xfId="0" applyNumberFormat="1" applyFont="1" applyFill="1" applyBorder="1" applyAlignment="1">
      <alignment vertical="center" wrapText="1"/>
    </xf>
    <xf numFmtId="3" fontId="18" fillId="0" borderId="0" xfId="0" applyNumberFormat="1" applyFont="1" applyFill="1"/>
    <xf numFmtId="3"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left" vertical="center" wrapText="1"/>
    </xf>
    <xf numFmtId="3" fontId="17" fillId="0" borderId="1" xfId="0" applyNumberFormat="1" applyFont="1" applyFill="1" applyBorder="1" applyAlignment="1">
      <alignment vertical="center" wrapText="1"/>
    </xf>
    <xf numFmtId="3" fontId="17" fillId="0" borderId="1" xfId="0" applyNumberFormat="1" applyFont="1" applyFill="1" applyBorder="1" applyAlignment="1">
      <alignment horizontal="center" vertical="center" shrinkToFit="1"/>
    </xf>
    <xf numFmtId="3" fontId="20" fillId="0" borderId="0" xfId="0" applyNumberFormat="1" applyFont="1" applyFill="1" applyAlignment="1">
      <alignment vertical="center"/>
    </xf>
    <xf numFmtId="0" fontId="3" fillId="0" borderId="1" xfId="0" applyFont="1" applyBorder="1" applyAlignment="1">
      <alignment horizontal="center" vertical="center" wrapText="1"/>
    </xf>
    <xf numFmtId="0" fontId="12" fillId="0" borderId="0" xfId="0" applyFont="1" applyAlignment="1">
      <alignment horizontal="center" vertical="center"/>
    </xf>
    <xf numFmtId="3" fontId="25" fillId="0" borderId="1" xfId="0" applyNumberFormat="1" applyFont="1" applyBorder="1" applyAlignment="1">
      <alignment horizontal="right" vertical="center" wrapText="1"/>
    </xf>
    <xf numFmtId="4" fontId="25" fillId="0" borderId="1" xfId="0" applyNumberFormat="1" applyFont="1" applyBorder="1" applyAlignment="1">
      <alignment horizontal="right" vertical="center" wrapText="1"/>
    </xf>
    <xf numFmtId="3" fontId="26" fillId="0" borderId="1" xfId="0" applyNumberFormat="1" applyFont="1" applyBorder="1" applyAlignment="1">
      <alignment horizontal="center" vertical="center" wrapText="1"/>
    </xf>
    <xf numFmtId="3" fontId="26" fillId="0" borderId="1" xfId="0" applyNumberFormat="1" applyFont="1" applyBorder="1" applyAlignment="1">
      <alignment horizontal="right" vertical="center" wrapText="1"/>
    </xf>
    <xf numFmtId="4" fontId="26" fillId="0" borderId="1" xfId="0" applyNumberFormat="1" applyFont="1" applyBorder="1" applyAlignment="1">
      <alignment horizontal="right" vertical="center" wrapText="1"/>
    </xf>
    <xf numFmtId="0" fontId="27"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right" vertical="center"/>
    </xf>
    <xf numFmtId="3" fontId="3" fillId="0" borderId="1" xfId="0" applyNumberFormat="1" applyFont="1" applyBorder="1" applyAlignment="1">
      <alignment vertical="center" wrapText="1"/>
    </xf>
    <xf numFmtId="3" fontId="25" fillId="0" borderId="4" xfId="0" applyNumberFormat="1" applyFont="1" applyBorder="1" applyAlignment="1">
      <alignment horizontal="right" vertical="center" wrapText="1"/>
    </xf>
    <xf numFmtId="3" fontId="26" fillId="0" borderId="4" xfId="0" applyNumberFormat="1" applyFont="1" applyBorder="1" applyAlignment="1">
      <alignment horizontal="right" vertical="center" wrapText="1"/>
    </xf>
    <xf numFmtId="0" fontId="25" fillId="0" borderId="1" xfId="0" applyFont="1" applyBorder="1" applyAlignment="1">
      <alignment horizontal="left" vertical="center"/>
    </xf>
    <xf numFmtId="0" fontId="3" fillId="0" borderId="1" xfId="0" applyFont="1" applyBorder="1" applyAlignment="1">
      <alignment horizontal="center" vertical="center" wrapText="1"/>
    </xf>
    <xf numFmtId="0" fontId="28" fillId="0" borderId="1" xfId="0" applyFont="1" applyBorder="1" applyAlignment="1">
      <alignment horizontal="center" vertical="center" wrapText="1"/>
    </xf>
    <xf numFmtId="3" fontId="5" fillId="0" borderId="0" xfId="0" applyNumberFormat="1" applyFont="1" applyFill="1" applyBorder="1" applyAlignment="1">
      <alignment horizontal="right" vertical="center" wrapText="1"/>
    </xf>
    <xf numFmtId="0" fontId="7" fillId="0" borderId="1" xfId="0" applyFont="1" applyBorder="1"/>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0" fillId="0" borderId="0" xfId="0" applyFont="1" applyFill="1" applyAlignment="1">
      <alignment vertical="center" wrapText="1"/>
    </xf>
    <xf numFmtId="37" fontId="30" fillId="0" borderId="0" xfId="0" applyNumberFormat="1" applyFont="1" applyFill="1" applyAlignment="1">
      <alignment horizontal="right" vertical="center" wrapText="1"/>
    </xf>
    <xf numFmtId="3" fontId="33" fillId="0" borderId="0" xfId="0" applyNumberFormat="1" applyFont="1" applyFill="1" applyAlignment="1">
      <alignment vertical="center" wrapText="1"/>
    </xf>
    <xf numFmtId="3" fontId="34" fillId="0" borderId="0" xfId="0" applyNumberFormat="1" applyFont="1" applyFill="1" applyAlignment="1">
      <alignment vertical="center" wrapText="1"/>
    </xf>
    <xf numFmtId="3" fontId="35" fillId="0" borderId="1" xfId="0" applyNumberFormat="1" applyFont="1" applyFill="1" applyBorder="1" applyAlignment="1">
      <alignment horizontal="center" vertical="center" wrapText="1"/>
    </xf>
    <xf numFmtId="3" fontId="34" fillId="0" borderId="1" xfId="0" applyNumberFormat="1" applyFont="1" applyFill="1" applyBorder="1" applyAlignment="1">
      <alignment horizontal="center" vertical="center" wrapText="1"/>
    </xf>
    <xf numFmtId="3" fontId="35" fillId="0" borderId="1" xfId="0" applyNumberFormat="1" applyFont="1" applyFill="1" applyBorder="1" applyAlignment="1">
      <alignment horizontal="right" vertical="center" wrapText="1"/>
    </xf>
    <xf numFmtId="4" fontId="35" fillId="0" borderId="1" xfId="0" applyNumberFormat="1" applyFont="1" applyFill="1" applyBorder="1" applyAlignment="1">
      <alignment horizontal="right" vertical="center" wrapText="1"/>
    </xf>
    <xf numFmtId="3" fontId="35" fillId="0" borderId="1" xfId="0" applyNumberFormat="1" applyFont="1" applyFill="1" applyBorder="1" applyAlignment="1">
      <alignment vertical="center" wrapText="1"/>
    </xf>
    <xf numFmtId="4" fontId="35" fillId="0" borderId="1" xfId="0" applyNumberFormat="1" applyFont="1" applyFill="1" applyBorder="1" applyAlignment="1">
      <alignment vertical="center" wrapText="1"/>
    </xf>
    <xf numFmtId="3" fontId="35" fillId="0" borderId="0" xfId="0" applyNumberFormat="1" applyFont="1" applyFill="1" applyAlignment="1">
      <alignment vertical="center" wrapText="1"/>
    </xf>
    <xf numFmtId="3" fontId="34" fillId="0" borderId="1" xfId="0" applyNumberFormat="1" applyFont="1" applyFill="1" applyBorder="1" applyAlignment="1">
      <alignment vertical="center" wrapText="1"/>
    </xf>
    <xf numFmtId="3" fontId="37" fillId="0" borderId="1" xfId="0" applyNumberFormat="1" applyFont="1" applyFill="1" applyBorder="1" applyAlignment="1">
      <alignment vertical="center" wrapText="1"/>
    </xf>
    <xf numFmtId="3" fontId="38" fillId="0" borderId="1" xfId="0" applyNumberFormat="1" applyFont="1" applyFill="1" applyBorder="1" applyAlignment="1">
      <alignment horizontal="center" vertical="center" wrapText="1"/>
    </xf>
    <xf numFmtId="3" fontId="38" fillId="0" borderId="1" xfId="0" applyNumberFormat="1" applyFont="1" applyFill="1" applyBorder="1" applyAlignment="1">
      <alignment vertical="center" wrapText="1"/>
    </xf>
    <xf numFmtId="3" fontId="39" fillId="0" borderId="1" xfId="0" applyNumberFormat="1" applyFont="1" applyFill="1" applyBorder="1" applyAlignment="1">
      <alignment vertical="center" wrapText="1"/>
    </xf>
    <xf numFmtId="4" fontId="34" fillId="0" borderId="1" xfId="0" applyNumberFormat="1" applyFont="1" applyFill="1" applyBorder="1" applyAlignment="1">
      <alignment vertical="center" wrapText="1"/>
    </xf>
    <xf numFmtId="3" fontId="40" fillId="0" borderId="1" xfId="0" applyNumberFormat="1" applyFont="1" applyFill="1" applyBorder="1" applyAlignment="1">
      <alignment vertical="center" wrapText="1"/>
    </xf>
    <xf numFmtId="3" fontId="35" fillId="0" borderId="0" xfId="0" applyNumberFormat="1" applyFont="1" applyFill="1" applyBorder="1" applyAlignment="1">
      <alignment horizontal="center" vertical="center" wrapText="1"/>
    </xf>
    <xf numFmtId="3" fontId="35" fillId="0" borderId="0" xfId="0" applyNumberFormat="1" applyFont="1" applyFill="1" applyBorder="1" applyAlignment="1">
      <alignment vertical="center" wrapText="1"/>
    </xf>
    <xf numFmtId="3" fontId="41" fillId="0" borderId="0" xfId="0" applyNumberFormat="1" applyFont="1" applyFill="1" applyBorder="1" applyAlignment="1">
      <alignment vertical="center" wrapText="1"/>
    </xf>
    <xf numFmtId="10" fontId="35" fillId="0" borderId="0" xfId="0" applyNumberFormat="1" applyFont="1" applyFill="1" applyBorder="1" applyAlignment="1">
      <alignment vertical="center" wrapText="1"/>
    </xf>
    <xf numFmtId="3" fontId="33" fillId="0" borderId="0" xfId="0" applyNumberFormat="1" applyFont="1" applyFill="1" applyAlignment="1">
      <alignment horizontal="center" vertical="center" wrapText="1"/>
    </xf>
    <xf numFmtId="0" fontId="9" fillId="0" borderId="1" xfId="0" applyFont="1" applyBorder="1" applyAlignment="1">
      <alignment vertical="center" wrapText="1" shrinkToFit="1"/>
    </xf>
    <xf numFmtId="0" fontId="42" fillId="0" borderId="1" xfId="0" applyFont="1" applyBorder="1" applyAlignment="1">
      <alignment vertical="center" wrapText="1"/>
    </xf>
    <xf numFmtId="4" fontId="3" fillId="0" borderId="1" xfId="0" applyNumberFormat="1" applyFont="1" applyBorder="1" applyAlignment="1">
      <alignment vertical="center" wrapText="1"/>
    </xf>
    <xf numFmtId="0" fontId="3" fillId="0" borderId="1" xfId="0" applyFont="1" applyBorder="1" applyAlignment="1">
      <alignment horizontal="left" vertical="center" wrapText="1"/>
    </xf>
    <xf numFmtId="3" fontId="4" fillId="0" borderId="1" xfId="0" applyNumberFormat="1" applyFont="1" applyBorder="1" applyAlignment="1">
      <alignment vertical="center" wrapText="1"/>
    </xf>
    <xf numFmtId="3" fontId="16" fillId="0" borderId="1" xfId="0" applyNumberFormat="1" applyFont="1" applyFill="1" applyBorder="1" applyAlignment="1">
      <alignment horizontal="center" vertical="center" wrapText="1"/>
    </xf>
    <xf numFmtId="4" fontId="0" fillId="0" borderId="0" xfId="0" applyNumberFormat="1" applyAlignment="1">
      <alignment shrinkToFit="1"/>
    </xf>
    <xf numFmtId="3" fontId="17" fillId="0" borderId="1" xfId="0" applyNumberFormat="1" applyFont="1" applyFill="1" applyBorder="1" applyAlignment="1">
      <alignment horizontal="right" vertical="center" wrapText="1"/>
    </xf>
    <xf numFmtId="3" fontId="19" fillId="0" borderId="1" xfId="0" applyNumberFormat="1" applyFont="1" applyFill="1" applyBorder="1" applyAlignment="1">
      <alignment horizontal="right" vertical="center"/>
    </xf>
    <xf numFmtId="0" fontId="13" fillId="0" borderId="0" xfId="0" applyNumberFormat="1" applyFont="1" applyBorder="1" applyAlignment="1">
      <alignment horizontal="center"/>
    </xf>
    <xf numFmtId="0" fontId="13" fillId="0" borderId="0" xfId="0" applyNumberFormat="1" applyFont="1" applyBorder="1" applyAlignment="1">
      <alignment horizontal="center"/>
    </xf>
    <xf numFmtId="3" fontId="9" fillId="0" borderId="5" xfId="0" applyNumberFormat="1" applyFont="1" applyFill="1" applyBorder="1" applyAlignment="1">
      <alignment horizontal="right" vertical="center" wrapText="1"/>
    </xf>
    <xf numFmtId="0" fontId="43" fillId="0" borderId="1" xfId="0" applyFont="1" applyBorder="1" applyAlignment="1">
      <alignment vertical="center" wrapText="1"/>
    </xf>
    <xf numFmtId="0" fontId="25" fillId="0" borderId="1" xfId="0" applyFont="1" applyBorder="1" applyAlignment="1">
      <alignment horizontal="center" vertical="center" wrapText="1"/>
    </xf>
    <xf numFmtId="0" fontId="25" fillId="0" borderId="4" xfId="0" applyFont="1" applyBorder="1" applyAlignment="1">
      <alignment horizontal="center" vertical="center" wrapText="1"/>
    </xf>
    <xf numFmtId="0" fontId="26" fillId="0" borderId="0" xfId="0" applyFont="1"/>
    <xf numFmtId="0" fontId="25" fillId="0" borderId="0" xfId="0" applyFont="1" applyAlignment="1">
      <alignment horizontal="right" vertical="center"/>
    </xf>
    <xf numFmtId="0" fontId="25" fillId="0" borderId="1" xfId="0" applyFont="1" applyBorder="1" applyAlignment="1">
      <alignment vertical="center" wrapText="1"/>
    </xf>
    <xf numFmtId="3" fontId="25" fillId="0" borderId="1" xfId="0" applyNumberFormat="1"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3" fontId="26" fillId="0" borderId="1" xfId="0" applyNumberFormat="1" applyFont="1" applyBorder="1" applyAlignment="1">
      <alignment vertical="center" wrapText="1"/>
    </xf>
    <xf numFmtId="0" fontId="25" fillId="0" borderId="1" xfId="0" applyFont="1" applyBorder="1" applyAlignment="1">
      <alignment horizontal="left" vertical="center" wrapText="1"/>
    </xf>
    <xf numFmtId="0" fontId="25" fillId="0" borderId="1" xfId="0" applyFont="1" applyBorder="1" applyAlignment="1">
      <alignment vertical="center" shrinkToFit="1"/>
    </xf>
    <xf numFmtId="0" fontId="25" fillId="0" borderId="4" xfId="0" applyFont="1" applyBorder="1" applyAlignment="1">
      <alignment vertical="center" wrapText="1"/>
    </xf>
    <xf numFmtId="3" fontId="26" fillId="0" borderId="4" xfId="0" applyNumberFormat="1" applyFont="1" applyBorder="1" applyAlignment="1">
      <alignment horizontal="center" vertical="center" wrapText="1"/>
    </xf>
    <xf numFmtId="3" fontId="26" fillId="0" borderId="4" xfId="0" applyNumberFormat="1" applyFont="1" applyBorder="1" applyAlignment="1">
      <alignment vertical="center" wrapText="1"/>
    </xf>
    <xf numFmtId="3" fontId="25" fillId="0" borderId="4" xfId="0" applyNumberFormat="1" applyFont="1" applyBorder="1" applyAlignment="1">
      <alignment vertical="center" wrapText="1"/>
    </xf>
    <xf numFmtId="0" fontId="25" fillId="0" borderId="1" xfId="0" applyFont="1" applyBorder="1"/>
    <xf numFmtId="0" fontId="26" fillId="0" borderId="1" xfId="0" applyFont="1" applyBorder="1"/>
    <xf numFmtId="3" fontId="25" fillId="0" borderId="1" xfId="0" applyNumberFormat="1" applyFont="1" applyBorder="1"/>
    <xf numFmtId="0" fontId="26" fillId="0" borderId="0" xfId="0" applyFont="1" applyAlignment="1">
      <alignment horizontal="left"/>
    </xf>
    <xf numFmtId="0" fontId="10" fillId="0" borderId="0" xfId="0" applyFont="1" applyAlignment="1">
      <alignment horizontal="left"/>
    </xf>
    <xf numFmtId="0" fontId="3" fillId="0" borderId="0" xfId="0" applyFont="1" applyAlignment="1">
      <alignment horizontal="center" vertical="center" wrapText="1"/>
    </xf>
    <xf numFmtId="0" fontId="13" fillId="0" borderId="0" xfId="0" applyNumberFormat="1" applyFont="1" applyBorder="1" applyAlignment="1">
      <alignment horizontal="center"/>
    </xf>
    <xf numFmtId="0" fontId="6" fillId="0" borderId="2" xfId="0" applyFont="1" applyBorder="1" applyAlignment="1">
      <alignment horizontal="left" vertical="center" wrapText="1"/>
    </xf>
    <xf numFmtId="0" fontId="3" fillId="0" borderId="1" xfId="0" applyFont="1" applyBorder="1" applyAlignment="1">
      <alignment horizontal="center" vertical="center" wrapText="1"/>
    </xf>
    <xf numFmtId="0" fontId="4" fillId="0" borderId="0" xfId="0" applyFont="1" applyAlignment="1">
      <alignment horizontal="left" vertical="center" wrapText="1"/>
    </xf>
    <xf numFmtId="0" fontId="13" fillId="0" borderId="0" xfId="0" applyNumberFormat="1" applyFont="1" applyBorder="1" applyAlignment="1">
      <alignment horizontal="center" shrinkToFit="1"/>
    </xf>
    <xf numFmtId="0" fontId="4" fillId="0" borderId="0" xfId="0" applyFont="1" applyAlignment="1">
      <alignment horizontal="center" vertical="center"/>
    </xf>
    <xf numFmtId="0" fontId="6" fillId="0" borderId="0" xfId="0" applyFont="1" applyBorder="1" applyAlignment="1">
      <alignment horizontal="left" vertical="center" wrapText="1"/>
    </xf>
    <xf numFmtId="0" fontId="4" fillId="0" borderId="0" xfId="0" applyFont="1" applyAlignment="1">
      <alignment horizontal="left" vertical="center"/>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7" fillId="0" borderId="0" xfId="0" applyNumberFormat="1" applyFont="1" applyBorder="1" applyAlignment="1">
      <alignment horizontal="center"/>
    </xf>
    <xf numFmtId="3" fontId="16" fillId="0" borderId="4" xfId="0" applyNumberFormat="1" applyFont="1" applyFill="1" applyBorder="1" applyAlignment="1">
      <alignment horizontal="center" vertical="center" wrapText="1"/>
    </xf>
    <xf numFmtId="3" fontId="16" fillId="0" borderId="6"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3" fontId="22" fillId="0" borderId="0" xfId="0" applyNumberFormat="1" applyFont="1" applyFill="1" applyAlignment="1">
      <alignment horizontal="center"/>
    </xf>
    <xf numFmtId="3" fontId="3" fillId="0" borderId="0" xfId="0" applyNumberFormat="1" applyFont="1" applyFill="1" applyAlignment="1">
      <alignment horizontal="center" vertical="center"/>
    </xf>
    <xf numFmtId="3" fontId="12" fillId="0" borderId="0" xfId="0" applyNumberFormat="1" applyFont="1" applyFill="1" applyAlignment="1">
      <alignment horizontal="center" vertical="center"/>
    </xf>
    <xf numFmtId="0" fontId="3" fillId="0" borderId="0" xfId="0" applyFont="1" applyAlignment="1">
      <alignment horizontal="center" vertical="center"/>
    </xf>
    <xf numFmtId="0" fontId="24" fillId="0" borderId="0" xfId="0" applyFont="1" applyAlignment="1">
      <alignment horizontal="center" vertical="center" wrapText="1"/>
    </xf>
    <xf numFmtId="0" fontId="0" fillId="0" borderId="0" xfId="0" applyAlignment="1">
      <alignment horizontal="center" shrinkToFit="1"/>
    </xf>
    <xf numFmtId="0" fontId="4" fillId="0" borderId="7" xfId="0" applyFont="1" applyBorder="1" applyAlignment="1">
      <alignment horizontal="center" vertical="center"/>
    </xf>
    <xf numFmtId="3" fontId="35" fillId="0" borderId="1" xfId="0" applyNumberFormat="1" applyFont="1" applyFill="1" applyBorder="1" applyAlignment="1">
      <alignment horizontal="center" vertical="center" wrapText="1"/>
    </xf>
    <xf numFmtId="3" fontId="35" fillId="0" borderId="4" xfId="0" applyNumberFormat="1" applyFont="1" applyFill="1" applyBorder="1" applyAlignment="1">
      <alignment horizontal="center" vertical="center" wrapText="1"/>
    </xf>
    <xf numFmtId="3" fontId="35" fillId="0" borderId="5" xfId="0" applyNumberFormat="1" applyFont="1" applyFill="1" applyBorder="1" applyAlignment="1">
      <alignment horizontal="center" vertical="center" wrapText="1"/>
    </xf>
    <xf numFmtId="3" fontId="35" fillId="0" borderId="6" xfId="0" applyNumberFormat="1" applyFont="1" applyFill="1" applyBorder="1" applyAlignment="1">
      <alignment horizontal="center" vertical="center" wrapText="1"/>
    </xf>
    <xf numFmtId="3" fontId="35" fillId="0" borderId="3" xfId="0" applyNumberFormat="1" applyFont="1" applyFill="1" applyBorder="1" applyAlignment="1">
      <alignment horizontal="center" vertical="center" wrapText="1"/>
    </xf>
    <xf numFmtId="3" fontId="35" fillId="0" borderId="9" xfId="0" applyNumberFormat="1" applyFont="1" applyFill="1" applyBorder="1" applyAlignment="1">
      <alignment horizontal="center" vertical="center" wrapText="1"/>
    </xf>
    <xf numFmtId="0" fontId="32" fillId="0" borderId="0" xfId="0" applyFont="1" applyFill="1" applyAlignment="1">
      <alignment horizontal="center" vertical="center" wrapText="1"/>
    </xf>
    <xf numFmtId="3" fontId="32" fillId="0" borderId="0" xfId="0" applyNumberFormat="1" applyFont="1" applyFill="1" applyAlignment="1">
      <alignment horizontal="center" vertical="center" wrapText="1"/>
    </xf>
    <xf numFmtId="0" fontId="29" fillId="0" borderId="0" xfId="0" applyNumberFormat="1" applyFont="1" applyBorder="1" applyAlignment="1">
      <alignment horizontal="center"/>
    </xf>
    <xf numFmtId="3" fontId="29" fillId="0" borderId="7" xfId="0" applyNumberFormat="1" applyFont="1" applyFill="1" applyBorder="1" applyAlignment="1">
      <alignment horizontal="center" vertical="center" wrapText="1"/>
    </xf>
    <xf numFmtId="3" fontId="35" fillId="0" borderId="8"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CFCF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6"/>
  <sheetViews>
    <sheetView workbookViewId="0">
      <selection activeCell="A4" sqref="A4:F4"/>
    </sheetView>
  </sheetViews>
  <sheetFormatPr defaultRowHeight="15" x14ac:dyDescent="0.25"/>
  <cols>
    <col min="1" max="1" width="5.5703125" customWidth="1"/>
    <col min="2" max="2" width="51.42578125" customWidth="1"/>
    <col min="3" max="3" width="14" customWidth="1"/>
    <col min="4" max="4" width="13.5703125" customWidth="1"/>
    <col min="5" max="5" width="11.7109375" customWidth="1"/>
    <col min="6" max="6" width="10.42578125" customWidth="1"/>
    <col min="7" max="7" width="9.85546875" bestFit="1" customWidth="1"/>
  </cols>
  <sheetData>
    <row r="1" spans="1:16" ht="17.25" customHeight="1" x14ac:dyDescent="0.25">
      <c r="A1" s="167"/>
      <c r="B1" s="167"/>
      <c r="F1" s="1" t="s">
        <v>642</v>
      </c>
    </row>
    <row r="2" spans="1:16" ht="11.25" customHeight="1" x14ac:dyDescent="0.25">
      <c r="A2" s="27"/>
      <c r="B2" s="26"/>
      <c r="F2" s="1"/>
    </row>
    <row r="3" spans="1:16" ht="20.25" customHeight="1" x14ac:dyDescent="0.25">
      <c r="A3" s="168" t="s">
        <v>573</v>
      </c>
      <c r="B3" s="168"/>
      <c r="C3" s="168"/>
      <c r="D3" s="168"/>
      <c r="E3" s="168"/>
      <c r="F3" s="168"/>
    </row>
    <row r="4" spans="1:16" ht="15.75" customHeight="1" x14ac:dyDescent="0.25">
      <c r="A4" s="169" t="s">
        <v>653</v>
      </c>
      <c r="B4" s="169"/>
      <c r="C4" s="169"/>
      <c r="D4" s="169"/>
      <c r="E4" s="169"/>
      <c r="F4" s="169"/>
      <c r="G4" s="62"/>
      <c r="H4" s="62"/>
      <c r="I4" s="62"/>
      <c r="J4" s="62"/>
      <c r="K4" s="62"/>
      <c r="L4" s="62"/>
      <c r="M4" s="62"/>
      <c r="N4" s="62"/>
      <c r="O4" s="62"/>
      <c r="P4" s="62"/>
    </row>
    <row r="5" spans="1:16" ht="15.75" customHeight="1" x14ac:dyDescent="0.25">
      <c r="A5" s="145"/>
      <c r="B5" s="145"/>
      <c r="C5" s="145"/>
      <c r="D5" s="145"/>
      <c r="E5" s="145"/>
      <c r="F5" s="145"/>
      <c r="G5" s="62"/>
      <c r="H5" s="62"/>
      <c r="I5" s="62"/>
      <c r="J5" s="62"/>
      <c r="K5" s="62"/>
      <c r="L5" s="62"/>
      <c r="M5" s="62"/>
      <c r="N5" s="62"/>
      <c r="O5" s="62"/>
      <c r="P5" s="62"/>
    </row>
    <row r="6" spans="1:16" ht="15.75" customHeight="1" x14ac:dyDescent="0.25">
      <c r="A6" s="69"/>
      <c r="B6" s="69"/>
      <c r="C6" s="69"/>
      <c r="D6" s="69"/>
      <c r="E6" s="69"/>
      <c r="F6" s="69"/>
      <c r="G6" s="62"/>
      <c r="H6" s="62"/>
      <c r="I6" s="62"/>
      <c r="J6" s="62"/>
      <c r="K6" s="62"/>
      <c r="L6" s="62"/>
      <c r="M6" s="62"/>
      <c r="N6" s="62"/>
      <c r="O6" s="62"/>
      <c r="P6" s="62"/>
    </row>
    <row r="7" spans="1:16" ht="14.25" customHeight="1" x14ac:dyDescent="0.25">
      <c r="F7" s="2" t="s">
        <v>5</v>
      </c>
    </row>
    <row r="8" spans="1:16" ht="5.25" customHeight="1" x14ac:dyDescent="0.25">
      <c r="F8" s="2"/>
    </row>
    <row r="9" spans="1:16" ht="19.5" customHeight="1" x14ac:dyDescent="0.25">
      <c r="A9" s="171" t="s">
        <v>0</v>
      </c>
      <c r="B9" s="171" t="s">
        <v>555</v>
      </c>
      <c r="C9" s="171" t="s">
        <v>124</v>
      </c>
      <c r="D9" s="171" t="s">
        <v>134</v>
      </c>
      <c r="E9" s="171" t="s">
        <v>31</v>
      </c>
      <c r="F9" s="171"/>
    </row>
    <row r="10" spans="1:16" ht="34.5" customHeight="1" x14ac:dyDescent="0.25">
      <c r="A10" s="171"/>
      <c r="B10" s="171"/>
      <c r="C10" s="171"/>
      <c r="D10" s="171"/>
      <c r="E10" s="5" t="s">
        <v>32</v>
      </c>
      <c r="F10" s="5" t="s">
        <v>82</v>
      </c>
    </row>
    <row r="11" spans="1:16" s="10" customFormat="1" ht="15.75" x14ac:dyDescent="0.25">
      <c r="A11" s="4" t="s">
        <v>2</v>
      </c>
      <c r="B11" s="4" t="s">
        <v>3</v>
      </c>
      <c r="C11" s="4">
        <v>1</v>
      </c>
      <c r="D11" s="4">
        <v>2</v>
      </c>
      <c r="E11" s="4" t="s">
        <v>61</v>
      </c>
      <c r="F11" s="4" t="s">
        <v>62</v>
      </c>
    </row>
    <row r="12" spans="1:16" ht="15.75" x14ac:dyDescent="0.25">
      <c r="A12" s="5" t="s">
        <v>2</v>
      </c>
      <c r="B12" s="6" t="s">
        <v>33</v>
      </c>
      <c r="C12" s="18">
        <f>C13+C16+C19</f>
        <v>8983651</v>
      </c>
      <c r="D12" s="18">
        <f>D13+D16+D21+D22++D23+D24+D19</f>
        <v>13736232</v>
      </c>
      <c r="E12" s="18">
        <f>E13+E16+E19+E21+E22+E23+E24</f>
        <v>4752581</v>
      </c>
      <c r="F12" s="22">
        <f>D12/C12*100</f>
        <v>152.90255598753782</v>
      </c>
    </row>
    <row r="13" spans="1:16" ht="15.75" x14ac:dyDescent="0.25">
      <c r="A13" s="5" t="s">
        <v>11</v>
      </c>
      <c r="B13" s="6" t="s">
        <v>63</v>
      </c>
      <c r="C13" s="18">
        <f>C14+C15</f>
        <v>5524590</v>
      </c>
      <c r="D13" s="18">
        <f>D14+D15</f>
        <v>6948803</v>
      </c>
      <c r="E13" s="18">
        <f t="shared" ref="E13:E18" si="0">D13-C13</f>
        <v>1424213</v>
      </c>
      <c r="F13" s="22">
        <f>D13/C13*100</f>
        <v>125.77952391037164</v>
      </c>
    </row>
    <row r="14" spans="1:16" ht="15.75" x14ac:dyDescent="0.25">
      <c r="A14" s="4" t="s">
        <v>4</v>
      </c>
      <c r="B14" s="51" t="s">
        <v>64</v>
      </c>
      <c r="C14" s="31">
        <v>2214570</v>
      </c>
      <c r="D14" s="31">
        <v>3490787</v>
      </c>
      <c r="E14" s="31">
        <f t="shared" si="0"/>
        <v>1276217</v>
      </c>
      <c r="F14" s="33">
        <f>D14/C14*100</f>
        <v>157.62820773332973</v>
      </c>
      <c r="H14" s="23">
        <f>'01'!D13-1570970</f>
        <v>5377833</v>
      </c>
    </row>
    <row r="15" spans="1:16" ht="15.75" x14ac:dyDescent="0.25">
      <c r="A15" s="4" t="s">
        <v>4</v>
      </c>
      <c r="B15" s="51" t="s">
        <v>65</v>
      </c>
      <c r="C15" s="31">
        <v>3310020</v>
      </c>
      <c r="D15" s="31">
        <v>3458016</v>
      </c>
      <c r="E15" s="31">
        <f t="shared" si="0"/>
        <v>147996</v>
      </c>
      <c r="F15" s="33">
        <f>D15/C15*100</f>
        <v>104.47115123171461</v>
      </c>
    </row>
    <row r="16" spans="1:16" ht="15.75" x14ac:dyDescent="0.25">
      <c r="A16" s="5" t="s">
        <v>7</v>
      </c>
      <c r="B16" s="6" t="s">
        <v>135</v>
      </c>
      <c r="C16" s="18">
        <f>C17+C18</f>
        <v>3419061</v>
      </c>
      <c r="D16" s="18">
        <f>D17+D18</f>
        <v>3799523</v>
      </c>
      <c r="E16" s="18">
        <f t="shared" si="0"/>
        <v>380462</v>
      </c>
      <c r="F16" s="22">
        <f>D16/C16*100</f>
        <v>111.1276751131378</v>
      </c>
    </row>
    <row r="17" spans="1:7" ht="15.75" x14ac:dyDescent="0.25">
      <c r="A17" s="4">
        <v>1</v>
      </c>
      <c r="B17" s="51" t="s">
        <v>34</v>
      </c>
      <c r="C17" s="31">
        <f>1822125+146327</f>
        <v>1968452</v>
      </c>
      <c r="D17" s="31">
        <v>1968452</v>
      </c>
      <c r="E17" s="31">
        <f t="shared" si="0"/>
        <v>0</v>
      </c>
      <c r="F17" s="33">
        <f t="shared" ref="F17:F18" si="1">D17/C17*100</f>
        <v>100</v>
      </c>
    </row>
    <row r="18" spans="1:7" ht="15.75" x14ac:dyDescent="0.25">
      <c r="A18" s="4">
        <v>2</v>
      </c>
      <c r="B18" s="51" t="s">
        <v>12</v>
      </c>
      <c r="C18" s="31">
        <f>3419061-1968452</f>
        <v>1450609</v>
      </c>
      <c r="D18" s="31">
        <v>1831071</v>
      </c>
      <c r="E18" s="31">
        <f t="shared" si="0"/>
        <v>380462</v>
      </c>
      <c r="F18" s="33">
        <f t="shared" si="1"/>
        <v>126.22774296864283</v>
      </c>
    </row>
    <row r="19" spans="1:7" ht="15.75" x14ac:dyDescent="0.25">
      <c r="A19" s="20" t="s">
        <v>8</v>
      </c>
      <c r="B19" s="21" t="s">
        <v>178</v>
      </c>
      <c r="C19" s="18">
        <v>40000</v>
      </c>
      <c r="D19" s="18">
        <v>11860</v>
      </c>
      <c r="E19" s="18">
        <f>D19-C19</f>
        <v>-28140</v>
      </c>
      <c r="F19" s="15"/>
    </row>
    <row r="20" spans="1:7" ht="15.75" x14ac:dyDescent="0.25">
      <c r="A20" s="5" t="s">
        <v>9</v>
      </c>
      <c r="B20" s="6" t="s">
        <v>35</v>
      </c>
      <c r="C20" s="17"/>
      <c r="D20" s="19"/>
      <c r="E20" s="18">
        <f t="shared" ref="E20:E24" si="2">D20-C20</f>
        <v>0</v>
      </c>
      <c r="F20" s="4"/>
    </row>
    <row r="21" spans="1:7" ht="15.75" x14ac:dyDescent="0.25">
      <c r="A21" s="5" t="s">
        <v>23</v>
      </c>
      <c r="B21" s="6" t="s">
        <v>53</v>
      </c>
      <c r="C21" s="17"/>
      <c r="D21" s="18">
        <v>265294</v>
      </c>
      <c r="E21" s="18">
        <f t="shared" si="2"/>
        <v>265294</v>
      </c>
      <c r="F21" s="4"/>
    </row>
    <row r="22" spans="1:7" ht="15.75" x14ac:dyDescent="0.25">
      <c r="A22" s="5" t="s">
        <v>92</v>
      </c>
      <c r="B22" s="6" t="s">
        <v>36</v>
      </c>
      <c r="C22" s="17"/>
      <c r="D22" s="18">
        <v>2689155</v>
      </c>
      <c r="E22" s="18">
        <f t="shared" si="2"/>
        <v>2689155</v>
      </c>
      <c r="F22" s="4"/>
    </row>
    <row r="23" spans="1:7" ht="15.75" x14ac:dyDescent="0.25">
      <c r="A23" s="16" t="s">
        <v>127</v>
      </c>
      <c r="B23" s="12" t="s">
        <v>180</v>
      </c>
      <c r="C23" s="17"/>
      <c r="D23" s="18">
        <v>17648</v>
      </c>
      <c r="E23" s="18">
        <f t="shared" si="2"/>
        <v>17648</v>
      </c>
      <c r="F23" s="15"/>
    </row>
    <row r="24" spans="1:7" ht="15.75" x14ac:dyDescent="0.25">
      <c r="A24" s="16" t="s">
        <v>181</v>
      </c>
      <c r="B24" s="12" t="s">
        <v>179</v>
      </c>
      <c r="C24" s="17"/>
      <c r="D24" s="18">
        <v>3949</v>
      </c>
      <c r="E24" s="18">
        <f t="shared" si="2"/>
        <v>3949</v>
      </c>
      <c r="F24" s="15"/>
    </row>
    <row r="25" spans="1:7" ht="15.75" x14ac:dyDescent="0.25">
      <c r="A25" s="5" t="s">
        <v>3</v>
      </c>
      <c r="B25" s="6" t="s">
        <v>14</v>
      </c>
      <c r="C25" s="18">
        <f>C26+C33</f>
        <v>8983651</v>
      </c>
      <c r="D25" s="18">
        <f>D26+D33+D36+D37</f>
        <v>13007041</v>
      </c>
      <c r="E25" s="18">
        <f>E26+E33+E36+E37</f>
        <v>4023390</v>
      </c>
      <c r="F25" s="22">
        <f>D25/C25*100</f>
        <v>144.78568902554207</v>
      </c>
      <c r="G25" s="23"/>
    </row>
    <row r="26" spans="1:7" ht="15.75" x14ac:dyDescent="0.25">
      <c r="A26" s="5" t="s">
        <v>11</v>
      </c>
      <c r="B26" s="6" t="s">
        <v>136</v>
      </c>
      <c r="C26" s="18">
        <f>C27+C28+C29+C30+C31</f>
        <v>7734374</v>
      </c>
      <c r="D26" s="18">
        <f>D27+D28+D29+D30+D31+D32</f>
        <v>8060188</v>
      </c>
      <c r="E26" s="18">
        <f>D26-C26</f>
        <v>325814</v>
      </c>
      <c r="F26" s="22">
        <f>D26/C26*100</f>
        <v>104.21254519111696</v>
      </c>
    </row>
    <row r="27" spans="1:7" ht="15.75" x14ac:dyDescent="0.25">
      <c r="A27" s="4">
        <v>1</v>
      </c>
      <c r="B27" s="7" t="s">
        <v>66</v>
      </c>
      <c r="C27" s="17">
        <v>1948180</v>
      </c>
      <c r="D27" s="17">
        <f>2869364+132762-593306</f>
        <v>2408820</v>
      </c>
      <c r="E27" s="19">
        <f t="shared" ref="E27:E29" si="3">D27-C27</f>
        <v>460640</v>
      </c>
      <c r="F27" s="24">
        <f t="shared" ref="F27:F28" si="4">D27/C27*100</f>
        <v>123.64463242616186</v>
      </c>
    </row>
    <row r="28" spans="1:7" ht="15.75" x14ac:dyDescent="0.25">
      <c r="A28" s="4">
        <v>2</v>
      </c>
      <c r="B28" s="7" t="s">
        <v>15</v>
      </c>
      <c r="C28" s="17">
        <v>5634734</v>
      </c>
      <c r="D28" s="17">
        <f>6105007-455627</f>
        <v>5649380</v>
      </c>
      <c r="E28" s="19">
        <f t="shared" si="3"/>
        <v>14646</v>
      </c>
      <c r="F28" s="24">
        <f t="shared" si="4"/>
        <v>100.25992353853795</v>
      </c>
      <c r="G28" s="23"/>
    </row>
    <row r="29" spans="1:7" ht="19.5" customHeight="1" x14ac:dyDescent="0.25">
      <c r="A29" s="4">
        <v>3</v>
      </c>
      <c r="B29" s="7" t="s">
        <v>16</v>
      </c>
      <c r="C29" s="17">
        <v>600</v>
      </c>
      <c r="D29" s="17">
        <v>988</v>
      </c>
      <c r="E29" s="19">
        <f t="shared" si="3"/>
        <v>388</v>
      </c>
      <c r="F29" s="24"/>
    </row>
    <row r="30" spans="1:7" ht="15.75" x14ac:dyDescent="0.25">
      <c r="A30" s="4">
        <v>4</v>
      </c>
      <c r="B30" s="7" t="s">
        <v>37</v>
      </c>
      <c r="C30" s="17">
        <v>1000</v>
      </c>
      <c r="D30" s="17">
        <v>1000</v>
      </c>
      <c r="E30" s="17">
        <f>D30-C30</f>
        <v>0</v>
      </c>
      <c r="F30" s="24"/>
    </row>
    <row r="31" spans="1:7" ht="15.75" x14ac:dyDescent="0.25">
      <c r="A31" s="4">
        <v>5</v>
      </c>
      <c r="B31" s="7" t="s">
        <v>38</v>
      </c>
      <c r="C31" s="17">
        <v>149860</v>
      </c>
      <c r="D31" s="17"/>
      <c r="E31" s="17">
        <f>D31-C31</f>
        <v>-149860</v>
      </c>
      <c r="F31" s="24"/>
    </row>
    <row r="32" spans="1:7" ht="15.75" x14ac:dyDescent="0.25">
      <c r="A32" s="4">
        <v>6</v>
      </c>
      <c r="B32" s="7" t="s">
        <v>17</v>
      </c>
      <c r="C32" s="17"/>
      <c r="D32" s="17"/>
      <c r="E32" s="4"/>
      <c r="F32" s="4"/>
    </row>
    <row r="33" spans="1:11" ht="15.75" x14ac:dyDescent="0.25">
      <c r="A33" s="5" t="s">
        <v>7</v>
      </c>
      <c r="B33" s="6" t="s">
        <v>39</v>
      </c>
      <c r="C33" s="18">
        <f>C34+C35</f>
        <v>1249277</v>
      </c>
      <c r="D33" s="18">
        <f>D34+D35</f>
        <v>1048933</v>
      </c>
      <c r="E33" s="18">
        <f>D33-C33</f>
        <v>-200344</v>
      </c>
      <c r="F33" s="22">
        <f>D33/C33*100</f>
        <v>83.963204317377176</v>
      </c>
    </row>
    <row r="34" spans="1:11" ht="15.75" x14ac:dyDescent="0.25">
      <c r="A34" s="4">
        <v>1</v>
      </c>
      <c r="B34" s="7" t="s">
        <v>40</v>
      </c>
      <c r="C34" s="17">
        <v>101917</v>
      </c>
      <c r="D34" s="17">
        <v>91777</v>
      </c>
      <c r="E34" s="17">
        <f>D34-C34</f>
        <v>-10140</v>
      </c>
      <c r="F34" s="25">
        <f>D34/C34*100</f>
        <v>90.050727552812589</v>
      </c>
    </row>
    <row r="35" spans="1:11" ht="15.75" x14ac:dyDescent="0.25">
      <c r="A35" s="4">
        <v>2</v>
      </c>
      <c r="B35" s="7" t="s">
        <v>41</v>
      </c>
      <c r="C35" s="17">
        <v>1147360</v>
      </c>
      <c r="D35" s="17">
        <v>957156</v>
      </c>
      <c r="E35" s="17">
        <f>D35-C35</f>
        <v>-190204</v>
      </c>
      <c r="F35" s="25">
        <f>D35/C35*100</f>
        <v>83.422465485985214</v>
      </c>
    </row>
    <row r="36" spans="1:11" ht="15.75" x14ac:dyDescent="0.25">
      <c r="A36" s="5" t="s">
        <v>8</v>
      </c>
      <c r="B36" s="6" t="s">
        <v>42</v>
      </c>
      <c r="C36" s="17"/>
      <c r="D36" s="18">
        <v>3879190</v>
      </c>
      <c r="E36" s="18">
        <f>D36-C36</f>
        <v>3879190</v>
      </c>
      <c r="F36" s="4"/>
    </row>
    <row r="37" spans="1:11" ht="15.75" x14ac:dyDescent="0.25">
      <c r="A37" s="14" t="s">
        <v>9</v>
      </c>
      <c r="B37" s="12" t="s">
        <v>177</v>
      </c>
      <c r="C37" s="17"/>
      <c r="D37" s="18">
        <v>18730</v>
      </c>
      <c r="E37" s="18">
        <f t="shared" ref="E37" si="5">D37-C37</f>
        <v>18730</v>
      </c>
      <c r="F37" s="13"/>
    </row>
    <row r="38" spans="1:11" ht="15.75" x14ac:dyDescent="0.25">
      <c r="A38" s="5" t="s">
        <v>10</v>
      </c>
      <c r="B38" s="6" t="s">
        <v>176</v>
      </c>
      <c r="C38" s="17"/>
      <c r="D38" s="18">
        <f>D12-D25</f>
        <v>729191</v>
      </c>
      <c r="E38" s="18"/>
      <c r="F38" s="4"/>
      <c r="G38">
        <f>379104+148151</f>
        <v>527255</v>
      </c>
    </row>
    <row r="39" spans="1:11" ht="15.75" x14ac:dyDescent="0.25">
      <c r="A39" s="5" t="s">
        <v>13</v>
      </c>
      <c r="B39" s="6" t="s">
        <v>137</v>
      </c>
      <c r="C39" s="18">
        <v>86000</v>
      </c>
      <c r="D39" s="18">
        <v>132762</v>
      </c>
      <c r="E39" s="18">
        <f>D39-C39</f>
        <v>46762</v>
      </c>
      <c r="F39" s="22">
        <f>D39/C39*100</f>
        <v>154.37441860465114</v>
      </c>
    </row>
    <row r="40" spans="1:11" ht="15.75" hidden="1" x14ac:dyDescent="0.25">
      <c r="A40" s="5" t="s">
        <v>11</v>
      </c>
      <c r="B40" s="6" t="s">
        <v>20</v>
      </c>
      <c r="C40" s="18"/>
      <c r="D40" s="18"/>
      <c r="E40" s="4"/>
      <c r="F40" s="4"/>
    </row>
    <row r="41" spans="1:11" ht="31.5" hidden="1" x14ac:dyDescent="0.25">
      <c r="A41" s="5" t="s">
        <v>7</v>
      </c>
      <c r="B41" s="6" t="s">
        <v>43</v>
      </c>
      <c r="C41" s="18"/>
      <c r="D41" s="18"/>
      <c r="E41" s="4"/>
      <c r="F41" s="4"/>
    </row>
    <row r="42" spans="1:11" ht="19.5" customHeight="1" x14ac:dyDescent="0.25">
      <c r="A42" s="5" t="s">
        <v>18</v>
      </c>
      <c r="B42" s="6" t="s">
        <v>67</v>
      </c>
      <c r="C42" s="18">
        <f>C43</f>
        <v>40000</v>
      </c>
      <c r="D42" s="18">
        <v>11860</v>
      </c>
      <c r="E42" s="4"/>
      <c r="F42" s="4"/>
    </row>
    <row r="43" spans="1:11" ht="15" customHeight="1" x14ac:dyDescent="0.25">
      <c r="A43" s="54" t="s">
        <v>11</v>
      </c>
      <c r="B43" s="7" t="s">
        <v>21</v>
      </c>
      <c r="C43" s="17">
        <v>40000</v>
      </c>
      <c r="D43" s="17">
        <v>11860</v>
      </c>
      <c r="E43" s="4"/>
      <c r="F43" s="4"/>
    </row>
    <row r="44" spans="1:11" ht="17.25" customHeight="1" x14ac:dyDescent="0.25">
      <c r="A44" s="54" t="s">
        <v>7</v>
      </c>
      <c r="B44" s="7" t="s">
        <v>22</v>
      </c>
      <c r="C44" s="18"/>
      <c r="D44" s="18"/>
      <c r="E44" s="4"/>
      <c r="F44" s="4"/>
    </row>
    <row r="45" spans="1:11" ht="27" customHeight="1" x14ac:dyDescent="0.25">
      <c r="A45" s="5" t="s">
        <v>19</v>
      </c>
      <c r="B45" s="6" t="s">
        <v>138</v>
      </c>
      <c r="C45" s="17"/>
      <c r="D45" s="18">
        <v>89800</v>
      </c>
      <c r="E45" s="4"/>
      <c r="F45" s="4"/>
    </row>
    <row r="46" spans="1:11" ht="60" customHeight="1" x14ac:dyDescent="0.25">
      <c r="A46" s="170"/>
      <c r="B46" s="170"/>
      <c r="C46" s="170"/>
      <c r="D46" s="170"/>
      <c r="E46" s="170"/>
      <c r="F46" s="170"/>
      <c r="K46" t="s">
        <v>293</v>
      </c>
    </row>
  </sheetData>
  <mergeCells count="9">
    <mergeCell ref="A1:B1"/>
    <mergeCell ref="A3:F3"/>
    <mergeCell ref="A4:F4"/>
    <mergeCell ref="A46:F46"/>
    <mergeCell ref="A9:A10"/>
    <mergeCell ref="B9:B10"/>
    <mergeCell ref="C9:C10"/>
    <mergeCell ref="D9:D10"/>
    <mergeCell ref="E9:F9"/>
  </mergeCells>
  <pageMargins left="0.34" right="0.2" top="0.38" bottom="0.74803149606299213" header="0.22" footer="0.31496062992125984"/>
  <pageSetup paperSize="9" scale="9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1"/>
  <sheetViews>
    <sheetView zoomScale="85" zoomScaleNormal="85" workbookViewId="0">
      <selection activeCell="A4" sqref="A4:I4"/>
    </sheetView>
  </sheetViews>
  <sheetFormatPr defaultRowHeight="15" x14ac:dyDescent="0.25"/>
  <cols>
    <col min="1" max="1" width="5.140625" bestFit="1" customWidth="1"/>
    <col min="2" max="2" width="23" customWidth="1"/>
    <col min="3" max="3" width="10" customWidth="1"/>
    <col min="4" max="4" width="10.42578125" customWidth="1"/>
    <col min="5" max="5" width="10" customWidth="1"/>
    <col min="6" max="6" width="7.5703125" customWidth="1"/>
    <col min="7" max="7" width="10" customWidth="1"/>
    <col min="8" max="8" width="9" customWidth="1"/>
    <col min="9" max="9" width="7.5703125" customWidth="1"/>
  </cols>
  <sheetData>
    <row r="1" spans="1:19" ht="15.75" customHeight="1" x14ac:dyDescent="0.25">
      <c r="G1" s="195" t="s">
        <v>651</v>
      </c>
      <c r="H1" s="195"/>
      <c r="I1" s="195"/>
    </row>
    <row r="2" spans="1:19" ht="15.75" customHeight="1" x14ac:dyDescent="0.25">
      <c r="G2" s="195"/>
      <c r="H2" s="195"/>
      <c r="I2" s="195"/>
    </row>
    <row r="3" spans="1:19" ht="16.5" customHeight="1" x14ac:dyDescent="0.25">
      <c r="A3" s="196" t="s">
        <v>585</v>
      </c>
      <c r="B3" s="196"/>
      <c r="C3" s="196"/>
      <c r="D3" s="196"/>
      <c r="E3" s="196"/>
      <c r="F3" s="196"/>
      <c r="G3" s="196"/>
      <c r="H3" s="196"/>
      <c r="I3" s="196"/>
    </row>
    <row r="4" spans="1:19" ht="15.75" x14ac:dyDescent="0.25">
      <c r="A4" s="173" t="s">
        <v>662</v>
      </c>
      <c r="B4" s="197"/>
      <c r="C4" s="197"/>
      <c r="D4" s="197"/>
      <c r="E4" s="197"/>
      <c r="F4" s="197"/>
      <c r="G4" s="197"/>
      <c r="H4" s="197"/>
      <c r="I4" s="197"/>
      <c r="J4" s="62"/>
      <c r="K4" s="62"/>
      <c r="L4" s="62"/>
      <c r="M4" s="62"/>
      <c r="N4" s="62"/>
      <c r="O4" s="62"/>
      <c r="P4" s="62"/>
      <c r="Q4" s="62"/>
      <c r="R4" s="62"/>
      <c r="S4" s="62"/>
    </row>
    <row r="5" spans="1:19" ht="15.75" x14ac:dyDescent="0.25">
      <c r="A5" s="78"/>
      <c r="B5" s="78"/>
      <c r="C5" s="78"/>
      <c r="D5" s="78"/>
      <c r="E5" s="78"/>
      <c r="F5" s="78"/>
      <c r="G5" s="78"/>
      <c r="H5" s="78"/>
    </row>
    <row r="6" spans="1:19" ht="15.75" x14ac:dyDescent="0.25">
      <c r="E6" s="198" t="s">
        <v>591</v>
      </c>
      <c r="F6" s="198"/>
      <c r="G6" s="198"/>
      <c r="H6" s="198"/>
      <c r="I6" s="198"/>
    </row>
    <row r="7" spans="1:19" ht="15.75" x14ac:dyDescent="0.25">
      <c r="A7" s="171" t="s">
        <v>0</v>
      </c>
      <c r="B7" s="171" t="s">
        <v>28</v>
      </c>
      <c r="C7" s="171" t="s">
        <v>173</v>
      </c>
      <c r="D7" s="171" t="s">
        <v>29</v>
      </c>
      <c r="E7" s="171"/>
      <c r="F7" s="171"/>
      <c r="G7" s="171"/>
      <c r="H7" s="171"/>
      <c r="I7" s="171"/>
    </row>
    <row r="8" spans="1:19" ht="129.75" customHeight="1" x14ac:dyDescent="0.25">
      <c r="A8" s="171"/>
      <c r="B8" s="171"/>
      <c r="C8" s="171"/>
      <c r="D8" s="5" t="s">
        <v>174</v>
      </c>
      <c r="E8" s="5" t="s">
        <v>132</v>
      </c>
      <c r="F8" s="5" t="s">
        <v>133</v>
      </c>
      <c r="G8" s="5" t="s">
        <v>36</v>
      </c>
      <c r="H8" s="5" t="s">
        <v>175</v>
      </c>
      <c r="I8" s="107" t="s">
        <v>562</v>
      </c>
    </row>
    <row r="9" spans="1:19" ht="15.75" customHeight="1" x14ac:dyDescent="0.25">
      <c r="A9" s="5" t="s">
        <v>2</v>
      </c>
      <c r="B9" s="5" t="s">
        <v>3</v>
      </c>
      <c r="C9" s="5">
        <v>1</v>
      </c>
      <c r="D9" s="5">
        <v>2</v>
      </c>
      <c r="E9" s="5">
        <v>3</v>
      </c>
      <c r="F9" s="5">
        <v>4</v>
      </c>
      <c r="G9" s="5">
        <v>5</v>
      </c>
      <c r="H9" s="5">
        <v>6</v>
      </c>
      <c r="I9" s="72">
        <v>7</v>
      </c>
    </row>
    <row r="10" spans="1:19" ht="26.25" customHeight="1" x14ac:dyDescent="0.25">
      <c r="A10" s="5"/>
      <c r="B10" s="6" t="s">
        <v>25</v>
      </c>
      <c r="C10" s="18">
        <f>SUM(C11:C20)</f>
        <v>5829540</v>
      </c>
      <c r="D10" s="18">
        <f t="shared" ref="D10:E10" si="0">SUM(D11:D20)</f>
        <v>1923242</v>
      </c>
      <c r="E10" s="18">
        <f t="shared" si="0"/>
        <v>2933208</v>
      </c>
      <c r="F10" s="18">
        <f t="shared" ref="F10:I10" si="1">SUM(F11:F20)</f>
        <v>0</v>
      </c>
      <c r="G10" s="18">
        <f t="shared" si="1"/>
        <v>707441</v>
      </c>
      <c r="H10" s="18">
        <f t="shared" si="1"/>
        <v>265294</v>
      </c>
      <c r="I10" s="42">
        <f t="shared" si="1"/>
        <v>355</v>
      </c>
    </row>
    <row r="11" spans="1:19" ht="22.5" customHeight="1" x14ac:dyDescent="0.25">
      <c r="A11" s="59">
        <v>1</v>
      </c>
      <c r="B11" s="58" t="s">
        <v>265</v>
      </c>
      <c r="C11" s="19">
        <f>1155047-45994</f>
        <v>1109053</v>
      </c>
      <c r="D11" s="19">
        <f>1109053-E11-G11-H11</f>
        <v>814712</v>
      </c>
      <c r="E11" s="19">
        <v>64372</v>
      </c>
      <c r="F11" s="42"/>
      <c r="G11" s="19">
        <v>186615</v>
      </c>
      <c r="H11" s="19">
        <v>43354</v>
      </c>
      <c r="I11" s="109"/>
      <c r="J11" s="146"/>
      <c r="K11" s="23"/>
    </row>
    <row r="12" spans="1:19" ht="22.5" customHeight="1" x14ac:dyDescent="0.25">
      <c r="A12" s="59">
        <v>2</v>
      </c>
      <c r="B12" s="7" t="s">
        <v>545</v>
      </c>
      <c r="C12" s="17">
        <f>654152-44053</f>
        <v>610099</v>
      </c>
      <c r="D12" s="17">
        <f>610099-E12-G12-H12</f>
        <v>180526</v>
      </c>
      <c r="E12" s="17">
        <v>291623</v>
      </c>
      <c r="F12" s="17"/>
      <c r="G12" s="17">
        <v>53594</v>
      </c>
      <c r="H12" s="17">
        <v>84356</v>
      </c>
      <c r="I12" s="109"/>
    </row>
    <row r="13" spans="1:19" ht="22.5" customHeight="1" x14ac:dyDescent="0.25">
      <c r="A13" s="59">
        <v>3</v>
      </c>
      <c r="B13" s="7" t="s">
        <v>546</v>
      </c>
      <c r="C13" s="17">
        <f>698636-89399</f>
        <v>609237</v>
      </c>
      <c r="D13" s="17">
        <f>609237-E13-G13-H13</f>
        <v>99582</v>
      </c>
      <c r="E13" s="17">
        <v>436586</v>
      </c>
      <c r="F13" s="17"/>
      <c r="G13" s="17">
        <v>47160</v>
      </c>
      <c r="H13" s="17">
        <v>25909</v>
      </c>
      <c r="I13" s="109"/>
    </row>
    <row r="14" spans="1:19" ht="22.5" customHeight="1" x14ac:dyDescent="0.25">
      <c r="A14" s="59">
        <v>4</v>
      </c>
      <c r="B14" s="7" t="s">
        <v>547</v>
      </c>
      <c r="C14" s="17">
        <f>978460-90008</f>
        <v>888452</v>
      </c>
      <c r="D14" s="17">
        <f>888452-E14-G14-H14</f>
        <v>303059</v>
      </c>
      <c r="E14" s="17">
        <v>411217</v>
      </c>
      <c r="F14" s="17"/>
      <c r="G14" s="17">
        <v>162313</v>
      </c>
      <c r="H14" s="17">
        <v>11863</v>
      </c>
      <c r="I14" s="109"/>
    </row>
    <row r="15" spans="1:19" ht="24.75" customHeight="1" x14ac:dyDescent="0.25">
      <c r="A15" s="59">
        <v>5</v>
      </c>
      <c r="B15" s="7" t="s">
        <v>548</v>
      </c>
      <c r="C15" s="17">
        <f>513093-38304</f>
        <v>474789</v>
      </c>
      <c r="D15" s="17">
        <f>474789-E15-G15-H15-I15</f>
        <v>122724</v>
      </c>
      <c r="E15" s="17">
        <v>279633</v>
      </c>
      <c r="F15" s="17"/>
      <c r="G15" s="17">
        <v>57274</v>
      </c>
      <c r="H15" s="17">
        <v>15128</v>
      </c>
      <c r="I15" s="109">
        <v>30</v>
      </c>
    </row>
    <row r="16" spans="1:19" ht="22.5" customHeight="1" x14ac:dyDescent="0.25">
      <c r="A16" s="59">
        <v>6</v>
      </c>
      <c r="B16" s="7" t="s">
        <v>549</v>
      </c>
      <c r="C16" s="17">
        <f>445437-26129</f>
        <v>419308</v>
      </c>
      <c r="D16" s="17">
        <f>419308-E16-G16-H16-I16</f>
        <v>149410</v>
      </c>
      <c r="E16" s="17">
        <v>259263</v>
      </c>
      <c r="F16" s="17"/>
      <c r="G16" s="17"/>
      <c r="H16" s="17">
        <v>10413</v>
      </c>
      <c r="I16" s="109">
        <v>222</v>
      </c>
    </row>
    <row r="17" spans="1:9" ht="22.5" customHeight="1" x14ac:dyDescent="0.25">
      <c r="A17" s="59">
        <v>7</v>
      </c>
      <c r="B17" s="7" t="s">
        <v>550</v>
      </c>
      <c r="C17" s="17">
        <f>495361-50252</f>
        <v>445109</v>
      </c>
      <c r="D17" s="17">
        <f>445109-E17-G17-H17-I17</f>
        <v>73806</v>
      </c>
      <c r="E17" s="17">
        <v>235642</v>
      </c>
      <c r="F17" s="17"/>
      <c r="G17" s="17">
        <v>105080</v>
      </c>
      <c r="H17" s="17">
        <v>30478</v>
      </c>
      <c r="I17" s="109">
        <v>103</v>
      </c>
    </row>
    <row r="18" spans="1:9" ht="22.5" customHeight="1" x14ac:dyDescent="0.25">
      <c r="A18" s="59">
        <v>8</v>
      </c>
      <c r="B18" s="7" t="s">
        <v>551</v>
      </c>
      <c r="C18" s="17">
        <f>603667-55059</f>
        <v>548608</v>
      </c>
      <c r="D18" s="17">
        <f>548608-E18-G18-H18-I18</f>
        <v>82837</v>
      </c>
      <c r="E18" s="17">
        <v>405842</v>
      </c>
      <c r="F18" s="17"/>
      <c r="G18" s="17">
        <v>41583</v>
      </c>
      <c r="H18" s="17">
        <v>18346</v>
      </c>
      <c r="I18" s="109"/>
    </row>
    <row r="19" spans="1:9" ht="22.5" customHeight="1" x14ac:dyDescent="0.25">
      <c r="A19" s="59">
        <v>9</v>
      </c>
      <c r="B19" s="7" t="s">
        <v>552</v>
      </c>
      <c r="C19" s="17">
        <f>602902-101311</f>
        <v>501591</v>
      </c>
      <c r="D19" s="17">
        <f>501591-E19-F19-G19-H19</f>
        <v>65107</v>
      </c>
      <c r="E19" s="17">
        <v>404155</v>
      </c>
      <c r="F19" s="17"/>
      <c r="G19" s="17">
        <v>21203</v>
      </c>
      <c r="H19" s="17">
        <v>11126</v>
      </c>
      <c r="I19" s="73"/>
    </row>
    <row r="20" spans="1:9" ht="22.5" customHeight="1" x14ac:dyDescent="0.25">
      <c r="A20" s="59">
        <v>10</v>
      </c>
      <c r="B20" s="7" t="s">
        <v>553</v>
      </c>
      <c r="C20" s="17">
        <f>237480-14186</f>
        <v>223294</v>
      </c>
      <c r="D20" s="17">
        <f>223294-E20-G20-H20-I20</f>
        <v>31479</v>
      </c>
      <c r="E20" s="17">
        <v>144875</v>
      </c>
      <c r="F20" s="17"/>
      <c r="G20" s="17">
        <v>32619</v>
      </c>
      <c r="H20" s="17">
        <v>14321</v>
      </c>
      <c r="I20" s="73"/>
    </row>
    <row r="21" spans="1:9" x14ac:dyDescent="0.25">
      <c r="A21" s="75"/>
      <c r="E21" s="23"/>
      <c r="F21" s="74"/>
      <c r="G21" s="23"/>
      <c r="H21" s="23"/>
    </row>
  </sheetData>
  <mergeCells count="8">
    <mergeCell ref="G1:I2"/>
    <mergeCell ref="A3:I3"/>
    <mergeCell ref="A7:A8"/>
    <mergeCell ref="B7:B8"/>
    <mergeCell ref="C7:C8"/>
    <mergeCell ref="D7:I7"/>
    <mergeCell ref="A4:I4"/>
    <mergeCell ref="E6:I6"/>
  </mergeCells>
  <pageMargins left="0.43" right="0.2" top="0.46"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176"/>
  <sheetViews>
    <sheetView tabSelected="1" zoomScale="85" zoomScaleNormal="85" workbookViewId="0">
      <selection activeCell="AH8" sqref="AH8:AH10"/>
    </sheetView>
  </sheetViews>
  <sheetFormatPr defaultColWidth="6.7109375" defaultRowHeight="12.75" x14ac:dyDescent="0.25"/>
  <cols>
    <col min="1" max="1" width="4.140625" style="134" customWidth="1"/>
    <col min="2" max="2" width="26.7109375" style="114" customWidth="1"/>
    <col min="3" max="4" width="7.7109375" style="114" customWidth="1"/>
    <col min="5" max="5" width="7.42578125" style="114" customWidth="1"/>
    <col min="6" max="14" width="6.42578125" style="114" hidden="1" customWidth="1"/>
    <col min="15" max="15" width="7.28515625" style="114" customWidth="1"/>
    <col min="16" max="16" width="6.85546875" style="114" customWidth="1"/>
    <col min="17" max="18" width="7" style="114" customWidth="1"/>
    <col min="19" max="19" width="6.7109375" style="114" customWidth="1"/>
    <col min="20" max="20" width="6.42578125" style="114" customWidth="1"/>
    <col min="21" max="21" width="7.28515625" style="114" customWidth="1"/>
    <col min="22" max="22" width="6.85546875" style="114" customWidth="1"/>
    <col min="23" max="30" width="6.42578125" style="114" hidden="1" customWidth="1"/>
    <col min="31" max="31" width="0.7109375" style="114" hidden="1" customWidth="1"/>
    <col min="32" max="32" width="6.42578125" style="114" customWidth="1"/>
    <col min="33" max="33" width="6.85546875" style="114" customWidth="1"/>
    <col min="34" max="34" width="7.5703125" style="114" customWidth="1"/>
    <col min="35" max="35" width="6.5703125" style="114" customWidth="1"/>
    <col min="36" max="53" width="6.7109375" style="114" customWidth="1"/>
    <col min="54" max="54" width="14.140625" style="114" customWidth="1"/>
    <col min="55" max="256" width="6.7109375" style="114"/>
    <col min="257" max="257" width="3.85546875" style="114" customWidth="1"/>
    <col min="258" max="258" width="23.42578125" style="114" customWidth="1"/>
    <col min="259" max="259" width="9.42578125" style="114" customWidth="1"/>
    <col min="260" max="261" width="7.42578125" style="114" customWidth="1"/>
    <col min="262" max="270" width="0" style="114" hidden="1" customWidth="1"/>
    <col min="271" max="277" width="6.42578125" style="114" customWidth="1"/>
    <col min="278" max="278" width="6.140625" style="114" customWidth="1"/>
    <col min="279" max="287" width="0" style="114" hidden="1" customWidth="1"/>
    <col min="288" max="290" width="6.42578125" style="114" customWidth="1"/>
    <col min="291" max="291" width="5.5703125" style="114" customWidth="1"/>
    <col min="292" max="309" width="6.7109375" style="114" customWidth="1"/>
    <col min="310" max="310" width="14.140625" style="114" customWidth="1"/>
    <col min="311" max="512" width="6.7109375" style="114"/>
    <col min="513" max="513" width="3.85546875" style="114" customWidth="1"/>
    <col min="514" max="514" width="23.42578125" style="114" customWidth="1"/>
    <col min="515" max="515" width="9.42578125" style="114" customWidth="1"/>
    <col min="516" max="517" width="7.42578125" style="114" customWidth="1"/>
    <col min="518" max="526" width="0" style="114" hidden="1" customWidth="1"/>
    <col min="527" max="533" width="6.42578125" style="114" customWidth="1"/>
    <col min="534" max="534" width="6.140625" style="114" customWidth="1"/>
    <col min="535" max="543" width="0" style="114" hidden="1" customWidth="1"/>
    <col min="544" max="546" width="6.42578125" style="114" customWidth="1"/>
    <col min="547" max="547" width="5.5703125" style="114" customWidth="1"/>
    <col min="548" max="565" width="6.7109375" style="114" customWidth="1"/>
    <col min="566" max="566" width="14.140625" style="114" customWidth="1"/>
    <col min="567" max="768" width="6.7109375" style="114"/>
    <col min="769" max="769" width="3.85546875" style="114" customWidth="1"/>
    <col min="770" max="770" width="23.42578125" style="114" customWidth="1"/>
    <col min="771" max="771" width="9.42578125" style="114" customWidth="1"/>
    <col min="772" max="773" width="7.42578125" style="114" customWidth="1"/>
    <col min="774" max="782" width="0" style="114" hidden="1" customWidth="1"/>
    <col min="783" max="789" width="6.42578125" style="114" customWidth="1"/>
    <col min="790" max="790" width="6.140625" style="114" customWidth="1"/>
    <col min="791" max="799" width="0" style="114" hidden="1" customWidth="1"/>
    <col min="800" max="802" width="6.42578125" style="114" customWidth="1"/>
    <col min="803" max="803" width="5.5703125" style="114" customWidth="1"/>
    <col min="804" max="821" width="6.7109375" style="114" customWidth="1"/>
    <col min="822" max="822" width="14.140625" style="114" customWidth="1"/>
    <col min="823" max="1024" width="6.7109375" style="114"/>
    <col min="1025" max="1025" width="3.85546875" style="114" customWidth="1"/>
    <col min="1026" max="1026" width="23.42578125" style="114" customWidth="1"/>
    <col min="1027" max="1027" width="9.42578125" style="114" customWidth="1"/>
    <col min="1028" max="1029" width="7.42578125" style="114" customWidth="1"/>
    <col min="1030" max="1038" width="0" style="114" hidden="1" customWidth="1"/>
    <col min="1039" max="1045" width="6.42578125" style="114" customWidth="1"/>
    <col min="1046" max="1046" width="6.140625" style="114" customWidth="1"/>
    <col min="1047" max="1055" width="0" style="114" hidden="1" customWidth="1"/>
    <col min="1056" max="1058" width="6.42578125" style="114" customWidth="1"/>
    <col min="1059" max="1059" width="5.5703125" style="114" customWidth="1"/>
    <col min="1060" max="1077" width="6.7109375" style="114" customWidth="1"/>
    <col min="1078" max="1078" width="14.140625" style="114" customWidth="1"/>
    <col min="1079" max="1280" width="6.7109375" style="114"/>
    <col min="1281" max="1281" width="3.85546875" style="114" customWidth="1"/>
    <col min="1282" max="1282" width="23.42578125" style="114" customWidth="1"/>
    <col min="1283" max="1283" width="9.42578125" style="114" customWidth="1"/>
    <col min="1284" max="1285" width="7.42578125" style="114" customWidth="1"/>
    <col min="1286" max="1294" width="0" style="114" hidden="1" customWidth="1"/>
    <col min="1295" max="1301" width="6.42578125" style="114" customWidth="1"/>
    <col min="1302" max="1302" width="6.140625" style="114" customWidth="1"/>
    <col min="1303" max="1311" width="0" style="114" hidden="1" customWidth="1"/>
    <col min="1312" max="1314" width="6.42578125" style="114" customWidth="1"/>
    <col min="1315" max="1315" width="5.5703125" style="114" customWidth="1"/>
    <col min="1316" max="1333" width="6.7109375" style="114" customWidth="1"/>
    <col min="1334" max="1334" width="14.140625" style="114" customWidth="1"/>
    <col min="1335" max="1536" width="6.7109375" style="114"/>
    <col min="1537" max="1537" width="3.85546875" style="114" customWidth="1"/>
    <col min="1538" max="1538" width="23.42578125" style="114" customWidth="1"/>
    <col min="1539" max="1539" width="9.42578125" style="114" customWidth="1"/>
    <col min="1540" max="1541" width="7.42578125" style="114" customWidth="1"/>
    <col min="1542" max="1550" width="0" style="114" hidden="1" customWidth="1"/>
    <col min="1551" max="1557" width="6.42578125" style="114" customWidth="1"/>
    <col min="1558" max="1558" width="6.140625" style="114" customWidth="1"/>
    <col min="1559" max="1567" width="0" style="114" hidden="1" customWidth="1"/>
    <col min="1568" max="1570" width="6.42578125" style="114" customWidth="1"/>
    <col min="1571" max="1571" width="5.5703125" style="114" customWidth="1"/>
    <col min="1572" max="1589" width="6.7109375" style="114" customWidth="1"/>
    <col min="1590" max="1590" width="14.140625" style="114" customWidth="1"/>
    <col min="1591" max="1792" width="6.7109375" style="114"/>
    <col min="1793" max="1793" width="3.85546875" style="114" customWidth="1"/>
    <col min="1794" max="1794" width="23.42578125" style="114" customWidth="1"/>
    <col min="1795" max="1795" width="9.42578125" style="114" customWidth="1"/>
    <col min="1796" max="1797" width="7.42578125" style="114" customWidth="1"/>
    <col min="1798" max="1806" width="0" style="114" hidden="1" customWidth="1"/>
    <col min="1807" max="1813" width="6.42578125" style="114" customWidth="1"/>
    <col min="1814" max="1814" width="6.140625" style="114" customWidth="1"/>
    <col min="1815" max="1823" width="0" style="114" hidden="1" customWidth="1"/>
    <col min="1824" max="1826" width="6.42578125" style="114" customWidth="1"/>
    <col min="1827" max="1827" width="5.5703125" style="114" customWidth="1"/>
    <col min="1828" max="1845" width="6.7109375" style="114" customWidth="1"/>
    <col min="1846" max="1846" width="14.140625" style="114" customWidth="1"/>
    <col min="1847" max="2048" width="6.7109375" style="114"/>
    <col min="2049" max="2049" width="3.85546875" style="114" customWidth="1"/>
    <col min="2050" max="2050" width="23.42578125" style="114" customWidth="1"/>
    <col min="2051" max="2051" width="9.42578125" style="114" customWidth="1"/>
    <col min="2052" max="2053" width="7.42578125" style="114" customWidth="1"/>
    <col min="2054" max="2062" width="0" style="114" hidden="1" customWidth="1"/>
    <col min="2063" max="2069" width="6.42578125" style="114" customWidth="1"/>
    <col min="2070" max="2070" width="6.140625" style="114" customWidth="1"/>
    <col min="2071" max="2079" width="0" style="114" hidden="1" customWidth="1"/>
    <col min="2080" max="2082" width="6.42578125" style="114" customWidth="1"/>
    <col min="2083" max="2083" width="5.5703125" style="114" customWidth="1"/>
    <col min="2084" max="2101" width="6.7109375" style="114" customWidth="1"/>
    <col min="2102" max="2102" width="14.140625" style="114" customWidth="1"/>
    <col min="2103" max="2304" width="6.7109375" style="114"/>
    <col min="2305" max="2305" width="3.85546875" style="114" customWidth="1"/>
    <col min="2306" max="2306" width="23.42578125" style="114" customWidth="1"/>
    <col min="2307" max="2307" width="9.42578125" style="114" customWidth="1"/>
    <col min="2308" max="2309" width="7.42578125" style="114" customWidth="1"/>
    <col min="2310" max="2318" width="0" style="114" hidden="1" customWidth="1"/>
    <col min="2319" max="2325" width="6.42578125" style="114" customWidth="1"/>
    <col min="2326" max="2326" width="6.140625" style="114" customWidth="1"/>
    <col min="2327" max="2335" width="0" style="114" hidden="1" customWidth="1"/>
    <col min="2336" max="2338" width="6.42578125" style="114" customWidth="1"/>
    <col min="2339" max="2339" width="5.5703125" style="114" customWidth="1"/>
    <col min="2340" max="2357" width="6.7109375" style="114" customWidth="1"/>
    <col min="2358" max="2358" width="14.140625" style="114" customWidth="1"/>
    <col min="2359" max="2560" width="6.7109375" style="114"/>
    <col min="2561" max="2561" width="3.85546875" style="114" customWidth="1"/>
    <col min="2562" max="2562" width="23.42578125" style="114" customWidth="1"/>
    <col min="2563" max="2563" width="9.42578125" style="114" customWidth="1"/>
    <col min="2564" max="2565" width="7.42578125" style="114" customWidth="1"/>
    <col min="2566" max="2574" width="0" style="114" hidden="1" customWidth="1"/>
    <col min="2575" max="2581" width="6.42578125" style="114" customWidth="1"/>
    <col min="2582" max="2582" width="6.140625" style="114" customWidth="1"/>
    <col min="2583" max="2591" width="0" style="114" hidden="1" customWidth="1"/>
    <col min="2592" max="2594" width="6.42578125" style="114" customWidth="1"/>
    <col min="2595" max="2595" width="5.5703125" style="114" customWidth="1"/>
    <col min="2596" max="2613" width="6.7109375" style="114" customWidth="1"/>
    <col min="2614" max="2614" width="14.140625" style="114" customWidth="1"/>
    <col min="2615" max="2816" width="6.7109375" style="114"/>
    <col min="2817" max="2817" width="3.85546875" style="114" customWidth="1"/>
    <col min="2818" max="2818" width="23.42578125" style="114" customWidth="1"/>
    <col min="2819" max="2819" width="9.42578125" style="114" customWidth="1"/>
    <col min="2820" max="2821" width="7.42578125" style="114" customWidth="1"/>
    <col min="2822" max="2830" width="0" style="114" hidden="1" customWidth="1"/>
    <col min="2831" max="2837" width="6.42578125" style="114" customWidth="1"/>
    <col min="2838" max="2838" width="6.140625" style="114" customWidth="1"/>
    <col min="2839" max="2847" width="0" style="114" hidden="1" customWidth="1"/>
    <col min="2848" max="2850" width="6.42578125" style="114" customWidth="1"/>
    <col min="2851" max="2851" width="5.5703125" style="114" customWidth="1"/>
    <col min="2852" max="2869" width="6.7109375" style="114" customWidth="1"/>
    <col min="2870" max="2870" width="14.140625" style="114" customWidth="1"/>
    <col min="2871" max="3072" width="6.7109375" style="114"/>
    <col min="3073" max="3073" width="3.85546875" style="114" customWidth="1"/>
    <col min="3074" max="3074" width="23.42578125" style="114" customWidth="1"/>
    <col min="3075" max="3075" width="9.42578125" style="114" customWidth="1"/>
    <col min="3076" max="3077" width="7.42578125" style="114" customWidth="1"/>
    <col min="3078" max="3086" width="0" style="114" hidden="1" customWidth="1"/>
    <col min="3087" max="3093" width="6.42578125" style="114" customWidth="1"/>
    <col min="3094" max="3094" width="6.140625" style="114" customWidth="1"/>
    <col min="3095" max="3103" width="0" style="114" hidden="1" customWidth="1"/>
    <col min="3104" max="3106" width="6.42578125" style="114" customWidth="1"/>
    <col min="3107" max="3107" width="5.5703125" style="114" customWidth="1"/>
    <col min="3108" max="3125" width="6.7109375" style="114" customWidth="1"/>
    <col min="3126" max="3126" width="14.140625" style="114" customWidth="1"/>
    <col min="3127" max="3328" width="6.7109375" style="114"/>
    <col min="3329" max="3329" width="3.85546875" style="114" customWidth="1"/>
    <col min="3330" max="3330" width="23.42578125" style="114" customWidth="1"/>
    <col min="3331" max="3331" width="9.42578125" style="114" customWidth="1"/>
    <col min="3332" max="3333" width="7.42578125" style="114" customWidth="1"/>
    <col min="3334" max="3342" width="0" style="114" hidden="1" customWidth="1"/>
    <col min="3343" max="3349" width="6.42578125" style="114" customWidth="1"/>
    <col min="3350" max="3350" width="6.140625" style="114" customWidth="1"/>
    <col min="3351" max="3359" width="0" style="114" hidden="1" customWidth="1"/>
    <col min="3360" max="3362" width="6.42578125" style="114" customWidth="1"/>
    <col min="3363" max="3363" width="5.5703125" style="114" customWidth="1"/>
    <col min="3364" max="3381" width="6.7109375" style="114" customWidth="1"/>
    <col min="3382" max="3382" width="14.140625" style="114" customWidth="1"/>
    <col min="3383" max="3584" width="6.7109375" style="114"/>
    <col min="3585" max="3585" width="3.85546875" style="114" customWidth="1"/>
    <col min="3586" max="3586" width="23.42578125" style="114" customWidth="1"/>
    <col min="3587" max="3587" width="9.42578125" style="114" customWidth="1"/>
    <col min="3588" max="3589" width="7.42578125" style="114" customWidth="1"/>
    <col min="3590" max="3598" width="0" style="114" hidden="1" customWidth="1"/>
    <col min="3599" max="3605" width="6.42578125" style="114" customWidth="1"/>
    <col min="3606" max="3606" width="6.140625" style="114" customWidth="1"/>
    <col min="3607" max="3615" width="0" style="114" hidden="1" customWidth="1"/>
    <col min="3616" max="3618" width="6.42578125" style="114" customWidth="1"/>
    <col min="3619" max="3619" width="5.5703125" style="114" customWidth="1"/>
    <col min="3620" max="3637" width="6.7109375" style="114" customWidth="1"/>
    <col min="3638" max="3638" width="14.140625" style="114" customWidth="1"/>
    <col min="3639" max="3840" width="6.7109375" style="114"/>
    <col min="3841" max="3841" width="3.85546875" style="114" customWidth="1"/>
    <col min="3842" max="3842" width="23.42578125" style="114" customWidth="1"/>
    <col min="3843" max="3843" width="9.42578125" style="114" customWidth="1"/>
    <col min="3844" max="3845" width="7.42578125" style="114" customWidth="1"/>
    <col min="3846" max="3854" width="0" style="114" hidden="1" customWidth="1"/>
    <col min="3855" max="3861" width="6.42578125" style="114" customWidth="1"/>
    <col min="3862" max="3862" width="6.140625" style="114" customWidth="1"/>
    <col min="3863" max="3871" width="0" style="114" hidden="1" customWidth="1"/>
    <col min="3872" max="3874" width="6.42578125" style="114" customWidth="1"/>
    <col min="3875" max="3875" width="5.5703125" style="114" customWidth="1"/>
    <col min="3876" max="3893" width="6.7109375" style="114" customWidth="1"/>
    <col min="3894" max="3894" width="14.140625" style="114" customWidth="1"/>
    <col min="3895" max="4096" width="6.7109375" style="114"/>
    <col min="4097" max="4097" width="3.85546875" style="114" customWidth="1"/>
    <col min="4098" max="4098" width="23.42578125" style="114" customWidth="1"/>
    <col min="4099" max="4099" width="9.42578125" style="114" customWidth="1"/>
    <col min="4100" max="4101" width="7.42578125" style="114" customWidth="1"/>
    <col min="4102" max="4110" width="0" style="114" hidden="1" customWidth="1"/>
    <col min="4111" max="4117" width="6.42578125" style="114" customWidth="1"/>
    <col min="4118" max="4118" width="6.140625" style="114" customWidth="1"/>
    <col min="4119" max="4127" width="0" style="114" hidden="1" customWidth="1"/>
    <col min="4128" max="4130" width="6.42578125" style="114" customWidth="1"/>
    <col min="4131" max="4131" width="5.5703125" style="114" customWidth="1"/>
    <col min="4132" max="4149" width="6.7109375" style="114" customWidth="1"/>
    <col min="4150" max="4150" width="14.140625" style="114" customWidth="1"/>
    <col min="4151" max="4352" width="6.7109375" style="114"/>
    <col min="4353" max="4353" width="3.85546875" style="114" customWidth="1"/>
    <col min="4354" max="4354" width="23.42578125" style="114" customWidth="1"/>
    <col min="4355" max="4355" width="9.42578125" style="114" customWidth="1"/>
    <col min="4356" max="4357" width="7.42578125" style="114" customWidth="1"/>
    <col min="4358" max="4366" width="0" style="114" hidden="1" customWidth="1"/>
    <col min="4367" max="4373" width="6.42578125" style="114" customWidth="1"/>
    <col min="4374" max="4374" width="6.140625" style="114" customWidth="1"/>
    <col min="4375" max="4383" width="0" style="114" hidden="1" customWidth="1"/>
    <col min="4384" max="4386" width="6.42578125" style="114" customWidth="1"/>
    <col min="4387" max="4387" width="5.5703125" style="114" customWidth="1"/>
    <col min="4388" max="4405" width="6.7109375" style="114" customWidth="1"/>
    <col min="4406" max="4406" width="14.140625" style="114" customWidth="1"/>
    <col min="4407" max="4608" width="6.7109375" style="114"/>
    <col min="4609" max="4609" width="3.85546875" style="114" customWidth="1"/>
    <col min="4610" max="4610" width="23.42578125" style="114" customWidth="1"/>
    <col min="4611" max="4611" width="9.42578125" style="114" customWidth="1"/>
    <col min="4612" max="4613" width="7.42578125" style="114" customWidth="1"/>
    <col min="4614" max="4622" width="0" style="114" hidden="1" customWidth="1"/>
    <col min="4623" max="4629" width="6.42578125" style="114" customWidth="1"/>
    <col min="4630" max="4630" width="6.140625" style="114" customWidth="1"/>
    <col min="4631" max="4639" width="0" style="114" hidden="1" customWidth="1"/>
    <col min="4640" max="4642" width="6.42578125" style="114" customWidth="1"/>
    <col min="4643" max="4643" width="5.5703125" style="114" customWidth="1"/>
    <col min="4644" max="4661" width="6.7109375" style="114" customWidth="1"/>
    <col min="4662" max="4662" width="14.140625" style="114" customWidth="1"/>
    <col min="4663" max="4864" width="6.7109375" style="114"/>
    <col min="4865" max="4865" width="3.85546875" style="114" customWidth="1"/>
    <col min="4866" max="4866" width="23.42578125" style="114" customWidth="1"/>
    <col min="4867" max="4867" width="9.42578125" style="114" customWidth="1"/>
    <col min="4868" max="4869" width="7.42578125" style="114" customWidth="1"/>
    <col min="4870" max="4878" width="0" style="114" hidden="1" customWidth="1"/>
    <col min="4879" max="4885" width="6.42578125" style="114" customWidth="1"/>
    <col min="4886" max="4886" width="6.140625" style="114" customWidth="1"/>
    <col min="4887" max="4895" width="0" style="114" hidden="1" customWidth="1"/>
    <col min="4896" max="4898" width="6.42578125" style="114" customWidth="1"/>
    <col min="4899" max="4899" width="5.5703125" style="114" customWidth="1"/>
    <col min="4900" max="4917" width="6.7109375" style="114" customWidth="1"/>
    <col min="4918" max="4918" width="14.140625" style="114" customWidth="1"/>
    <col min="4919" max="5120" width="6.7109375" style="114"/>
    <col min="5121" max="5121" width="3.85546875" style="114" customWidth="1"/>
    <col min="5122" max="5122" width="23.42578125" style="114" customWidth="1"/>
    <col min="5123" max="5123" width="9.42578125" style="114" customWidth="1"/>
    <col min="5124" max="5125" width="7.42578125" style="114" customWidth="1"/>
    <col min="5126" max="5134" width="0" style="114" hidden="1" customWidth="1"/>
    <col min="5135" max="5141" width="6.42578125" style="114" customWidth="1"/>
    <col min="5142" max="5142" width="6.140625" style="114" customWidth="1"/>
    <col min="5143" max="5151" width="0" style="114" hidden="1" customWidth="1"/>
    <col min="5152" max="5154" width="6.42578125" style="114" customWidth="1"/>
    <col min="5155" max="5155" width="5.5703125" style="114" customWidth="1"/>
    <col min="5156" max="5173" width="6.7109375" style="114" customWidth="1"/>
    <col min="5174" max="5174" width="14.140625" style="114" customWidth="1"/>
    <col min="5175" max="5376" width="6.7109375" style="114"/>
    <col min="5377" max="5377" width="3.85546875" style="114" customWidth="1"/>
    <col min="5378" max="5378" width="23.42578125" style="114" customWidth="1"/>
    <col min="5379" max="5379" width="9.42578125" style="114" customWidth="1"/>
    <col min="5380" max="5381" width="7.42578125" style="114" customWidth="1"/>
    <col min="5382" max="5390" width="0" style="114" hidden="1" customWidth="1"/>
    <col min="5391" max="5397" width="6.42578125" style="114" customWidth="1"/>
    <col min="5398" max="5398" width="6.140625" style="114" customWidth="1"/>
    <col min="5399" max="5407" width="0" style="114" hidden="1" customWidth="1"/>
    <col min="5408" max="5410" width="6.42578125" style="114" customWidth="1"/>
    <col min="5411" max="5411" width="5.5703125" style="114" customWidth="1"/>
    <col min="5412" max="5429" width="6.7109375" style="114" customWidth="1"/>
    <col min="5430" max="5430" width="14.140625" style="114" customWidth="1"/>
    <col min="5431" max="5632" width="6.7109375" style="114"/>
    <col min="5633" max="5633" width="3.85546875" style="114" customWidth="1"/>
    <col min="5634" max="5634" width="23.42578125" style="114" customWidth="1"/>
    <col min="5635" max="5635" width="9.42578125" style="114" customWidth="1"/>
    <col min="5636" max="5637" width="7.42578125" style="114" customWidth="1"/>
    <col min="5638" max="5646" width="0" style="114" hidden="1" customWidth="1"/>
    <col min="5647" max="5653" width="6.42578125" style="114" customWidth="1"/>
    <col min="5654" max="5654" width="6.140625" style="114" customWidth="1"/>
    <col min="5655" max="5663" width="0" style="114" hidden="1" customWidth="1"/>
    <col min="5664" max="5666" width="6.42578125" style="114" customWidth="1"/>
    <col min="5667" max="5667" width="5.5703125" style="114" customWidth="1"/>
    <col min="5668" max="5685" width="6.7109375" style="114" customWidth="1"/>
    <col min="5686" max="5686" width="14.140625" style="114" customWidth="1"/>
    <col min="5687" max="5888" width="6.7109375" style="114"/>
    <col min="5889" max="5889" width="3.85546875" style="114" customWidth="1"/>
    <col min="5890" max="5890" width="23.42578125" style="114" customWidth="1"/>
    <col min="5891" max="5891" width="9.42578125" style="114" customWidth="1"/>
    <col min="5892" max="5893" width="7.42578125" style="114" customWidth="1"/>
    <col min="5894" max="5902" width="0" style="114" hidden="1" customWidth="1"/>
    <col min="5903" max="5909" width="6.42578125" style="114" customWidth="1"/>
    <col min="5910" max="5910" width="6.140625" style="114" customWidth="1"/>
    <col min="5911" max="5919" width="0" style="114" hidden="1" customWidth="1"/>
    <col min="5920" max="5922" width="6.42578125" style="114" customWidth="1"/>
    <col min="5923" max="5923" width="5.5703125" style="114" customWidth="1"/>
    <col min="5924" max="5941" width="6.7109375" style="114" customWidth="1"/>
    <col min="5942" max="5942" width="14.140625" style="114" customWidth="1"/>
    <col min="5943" max="6144" width="6.7109375" style="114"/>
    <col min="6145" max="6145" width="3.85546875" style="114" customWidth="1"/>
    <col min="6146" max="6146" width="23.42578125" style="114" customWidth="1"/>
    <col min="6147" max="6147" width="9.42578125" style="114" customWidth="1"/>
    <col min="6148" max="6149" width="7.42578125" style="114" customWidth="1"/>
    <col min="6150" max="6158" width="0" style="114" hidden="1" customWidth="1"/>
    <col min="6159" max="6165" width="6.42578125" style="114" customWidth="1"/>
    <col min="6166" max="6166" width="6.140625" style="114" customWidth="1"/>
    <col min="6167" max="6175" width="0" style="114" hidden="1" customWidth="1"/>
    <col min="6176" max="6178" width="6.42578125" style="114" customWidth="1"/>
    <col min="6179" max="6179" width="5.5703125" style="114" customWidth="1"/>
    <col min="6180" max="6197" width="6.7109375" style="114" customWidth="1"/>
    <col min="6198" max="6198" width="14.140625" style="114" customWidth="1"/>
    <col min="6199" max="6400" width="6.7109375" style="114"/>
    <col min="6401" max="6401" width="3.85546875" style="114" customWidth="1"/>
    <col min="6402" max="6402" width="23.42578125" style="114" customWidth="1"/>
    <col min="6403" max="6403" width="9.42578125" style="114" customWidth="1"/>
    <col min="6404" max="6405" width="7.42578125" style="114" customWidth="1"/>
    <col min="6406" max="6414" width="0" style="114" hidden="1" customWidth="1"/>
    <col min="6415" max="6421" width="6.42578125" style="114" customWidth="1"/>
    <col min="6422" max="6422" width="6.140625" style="114" customWidth="1"/>
    <col min="6423" max="6431" width="0" style="114" hidden="1" customWidth="1"/>
    <col min="6432" max="6434" width="6.42578125" style="114" customWidth="1"/>
    <col min="6435" max="6435" width="5.5703125" style="114" customWidth="1"/>
    <col min="6436" max="6453" width="6.7109375" style="114" customWidth="1"/>
    <col min="6454" max="6454" width="14.140625" style="114" customWidth="1"/>
    <col min="6455" max="6656" width="6.7109375" style="114"/>
    <col min="6657" max="6657" width="3.85546875" style="114" customWidth="1"/>
    <col min="6658" max="6658" width="23.42578125" style="114" customWidth="1"/>
    <col min="6659" max="6659" width="9.42578125" style="114" customWidth="1"/>
    <col min="6660" max="6661" width="7.42578125" style="114" customWidth="1"/>
    <col min="6662" max="6670" width="0" style="114" hidden="1" customWidth="1"/>
    <col min="6671" max="6677" width="6.42578125" style="114" customWidth="1"/>
    <col min="6678" max="6678" width="6.140625" style="114" customWidth="1"/>
    <col min="6679" max="6687" width="0" style="114" hidden="1" customWidth="1"/>
    <col min="6688" max="6690" width="6.42578125" style="114" customWidth="1"/>
    <col min="6691" max="6691" width="5.5703125" style="114" customWidth="1"/>
    <col min="6692" max="6709" width="6.7109375" style="114" customWidth="1"/>
    <col min="6710" max="6710" width="14.140625" style="114" customWidth="1"/>
    <col min="6711" max="6912" width="6.7109375" style="114"/>
    <col min="6913" max="6913" width="3.85546875" style="114" customWidth="1"/>
    <col min="6914" max="6914" width="23.42578125" style="114" customWidth="1"/>
    <col min="6915" max="6915" width="9.42578125" style="114" customWidth="1"/>
    <col min="6916" max="6917" width="7.42578125" style="114" customWidth="1"/>
    <col min="6918" max="6926" width="0" style="114" hidden="1" customWidth="1"/>
    <col min="6927" max="6933" width="6.42578125" style="114" customWidth="1"/>
    <col min="6934" max="6934" width="6.140625" style="114" customWidth="1"/>
    <col min="6935" max="6943" width="0" style="114" hidden="1" customWidth="1"/>
    <col min="6944" max="6946" width="6.42578125" style="114" customWidth="1"/>
    <col min="6947" max="6947" width="5.5703125" style="114" customWidth="1"/>
    <col min="6948" max="6965" width="6.7109375" style="114" customWidth="1"/>
    <col min="6966" max="6966" width="14.140625" style="114" customWidth="1"/>
    <col min="6967" max="7168" width="6.7109375" style="114"/>
    <col min="7169" max="7169" width="3.85546875" style="114" customWidth="1"/>
    <col min="7170" max="7170" width="23.42578125" style="114" customWidth="1"/>
    <col min="7171" max="7171" width="9.42578125" style="114" customWidth="1"/>
    <col min="7172" max="7173" width="7.42578125" style="114" customWidth="1"/>
    <col min="7174" max="7182" width="0" style="114" hidden="1" customWidth="1"/>
    <col min="7183" max="7189" width="6.42578125" style="114" customWidth="1"/>
    <col min="7190" max="7190" width="6.140625" style="114" customWidth="1"/>
    <col min="7191" max="7199" width="0" style="114" hidden="1" customWidth="1"/>
    <col min="7200" max="7202" width="6.42578125" style="114" customWidth="1"/>
    <col min="7203" max="7203" width="5.5703125" style="114" customWidth="1"/>
    <col min="7204" max="7221" width="6.7109375" style="114" customWidth="1"/>
    <col min="7222" max="7222" width="14.140625" style="114" customWidth="1"/>
    <col min="7223" max="7424" width="6.7109375" style="114"/>
    <col min="7425" max="7425" width="3.85546875" style="114" customWidth="1"/>
    <col min="7426" max="7426" width="23.42578125" style="114" customWidth="1"/>
    <col min="7427" max="7427" width="9.42578125" style="114" customWidth="1"/>
    <col min="7428" max="7429" width="7.42578125" style="114" customWidth="1"/>
    <col min="7430" max="7438" width="0" style="114" hidden="1" customWidth="1"/>
    <col min="7439" max="7445" width="6.42578125" style="114" customWidth="1"/>
    <col min="7446" max="7446" width="6.140625" style="114" customWidth="1"/>
    <col min="7447" max="7455" width="0" style="114" hidden="1" customWidth="1"/>
    <col min="7456" max="7458" width="6.42578125" style="114" customWidth="1"/>
    <col min="7459" max="7459" width="5.5703125" style="114" customWidth="1"/>
    <col min="7460" max="7477" width="6.7109375" style="114" customWidth="1"/>
    <col min="7478" max="7478" width="14.140625" style="114" customWidth="1"/>
    <col min="7479" max="7680" width="6.7109375" style="114"/>
    <col min="7681" max="7681" width="3.85546875" style="114" customWidth="1"/>
    <col min="7682" max="7682" width="23.42578125" style="114" customWidth="1"/>
    <col min="7683" max="7683" width="9.42578125" style="114" customWidth="1"/>
    <col min="7684" max="7685" width="7.42578125" style="114" customWidth="1"/>
    <col min="7686" max="7694" width="0" style="114" hidden="1" customWidth="1"/>
    <col min="7695" max="7701" width="6.42578125" style="114" customWidth="1"/>
    <col min="7702" max="7702" width="6.140625" style="114" customWidth="1"/>
    <col min="7703" max="7711" width="0" style="114" hidden="1" customWidth="1"/>
    <col min="7712" max="7714" width="6.42578125" style="114" customWidth="1"/>
    <col min="7715" max="7715" width="5.5703125" style="114" customWidth="1"/>
    <col min="7716" max="7733" width="6.7109375" style="114" customWidth="1"/>
    <col min="7734" max="7734" width="14.140625" style="114" customWidth="1"/>
    <col min="7735" max="7936" width="6.7109375" style="114"/>
    <col min="7937" max="7937" width="3.85546875" style="114" customWidth="1"/>
    <col min="7938" max="7938" width="23.42578125" style="114" customWidth="1"/>
    <col min="7939" max="7939" width="9.42578125" style="114" customWidth="1"/>
    <col min="7940" max="7941" width="7.42578125" style="114" customWidth="1"/>
    <col min="7942" max="7950" width="0" style="114" hidden="1" customWidth="1"/>
    <col min="7951" max="7957" width="6.42578125" style="114" customWidth="1"/>
    <col min="7958" max="7958" width="6.140625" style="114" customWidth="1"/>
    <col min="7959" max="7967" width="0" style="114" hidden="1" customWidth="1"/>
    <col min="7968" max="7970" width="6.42578125" style="114" customWidth="1"/>
    <col min="7971" max="7971" width="5.5703125" style="114" customWidth="1"/>
    <col min="7972" max="7989" width="6.7109375" style="114" customWidth="1"/>
    <col min="7990" max="7990" width="14.140625" style="114" customWidth="1"/>
    <col min="7991" max="8192" width="6.7109375" style="114"/>
    <col min="8193" max="8193" width="3.85546875" style="114" customWidth="1"/>
    <col min="8194" max="8194" width="23.42578125" style="114" customWidth="1"/>
    <col min="8195" max="8195" width="9.42578125" style="114" customWidth="1"/>
    <col min="8196" max="8197" width="7.42578125" style="114" customWidth="1"/>
    <col min="8198" max="8206" width="0" style="114" hidden="1" customWidth="1"/>
    <col min="8207" max="8213" width="6.42578125" style="114" customWidth="1"/>
    <col min="8214" max="8214" width="6.140625" style="114" customWidth="1"/>
    <col min="8215" max="8223" width="0" style="114" hidden="1" customWidth="1"/>
    <col min="8224" max="8226" width="6.42578125" style="114" customWidth="1"/>
    <col min="8227" max="8227" width="5.5703125" style="114" customWidth="1"/>
    <col min="8228" max="8245" width="6.7109375" style="114" customWidth="1"/>
    <col min="8246" max="8246" width="14.140625" style="114" customWidth="1"/>
    <col min="8247" max="8448" width="6.7109375" style="114"/>
    <col min="8449" max="8449" width="3.85546875" style="114" customWidth="1"/>
    <col min="8450" max="8450" width="23.42578125" style="114" customWidth="1"/>
    <col min="8451" max="8451" width="9.42578125" style="114" customWidth="1"/>
    <col min="8452" max="8453" width="7.42578125" style="114" customWidth="1"/>
    <col min="8454" max="8462" width="0" style="114" hidden="1" customWidth="1"/>
    <col min="8463" max="8469" width="6.42578125" style="114" customWidth="1"/>
    <col min="8470" max="8470" width="6.140625" style="114" customWidth="1"/>
    <col min="8471" max="8479" width="0" style="114" hidden="1" customWidth="1"/>
    <col min="8480" max="8482" width="6.42578125" style="114" customWidth="1"/>
    <col min="8483" max="8483" width="5.5703125" style="114" customWidth="1"/>
    <col min="8484" max="8501" width="6.7109375" style="114" customWidth="1"/>
    <col min="8502" max="8502" width="14.140625" style="114" customWidth="1"/>
    <col min="8503" max="8704" width="6.7109375" style="114"/>
    <col min="8705" max="8705" width="3.85546875" style="114" customWidth="1"/>
    <col min="8706" max="8706" width="23.42578125" style="114" customWidth="1"/>
    <col min="8707" max="8707" width="9.42578125" style="114" customWidth="1"/>
    <col min="8708" max="8709" width="7.42578125" style="114" customWidth="1"/>
    <col min="8710" max="8718" width="0" style="114" hidden="1" customWidth="1"/>
    <col min="8719" max="8725" width="6.42578125" style="114" customWidth="1"/>
    <col min="8726" max="8726" width="6.140625" style="114" customWidth="1"/>
    <col min="8727" max="8735" width="0" style="114" hidden="1" customWidth="1"/>
    <col min="8736" max="8738" width="6.42578125" style="114" customWidth="1"/>
    <col min="8739" max="8739" width="5.5703125" style="114" customWidth="1"/>
    <col min="8740" max="8757" width="6.7109375" style="114" customWidth="1"/>
    <col min="8758" max="8758" width="14.140625" style="114" customWidth="1"/>
    <col min="8759" max="8960" width="6.7109375" style="114"/>
    <col min="8961" max="8961" width="3.85546875" style="114" customWidth="1"/>
    <col min="8962" max="8962" width="23.42578125" style="114" customWidth="1"/>
    <col min="8963" max="8963" width="9.42578125" style="114" customWidth="1"/>
    <col min="8964" max="8965" width="7.42578125" style="114" customWidth="1"/>
    <col min="8966" max="8974" width="0" style="114" hidden="1" customWidth="1"/>
    <col min="8975" max="8981" width="6.42578125" style="114" customWidth="1"/>
    <col min="8982" max="8982" width="6.140625" style="114" customWidth="1"/>
    <col min="8983" max="8991" width="0" style="114" hidden="1" customWidth="1"/>
    <col min="8992" max="8994" width="6.42578125" style="114" customWidth="1"/>
    <col min="8995" max="8995" width="5.5703125" style="114" customWidth="1"/>
    <col min="8996" max="9013" width="6.7109375" style="114" customWidth="1"/>
    <col min="9014" max="9014" width="14.140625" style="114" customWidth="1"/>
    <col min="9015" max="9216" width="6.7109375" style="114"/>
    <col min="9217" max="9217" width="3.85546875" style="114" customWidth="1"/>
    <col min="9218" max="9218" width="23.42578125" style="114" customWidth="1"/>
    <col min="9219" max="9219" width="9.42578125" style="114" customWidth="1"/>
    <col min="9220" max="9221" width="7.42578125" style="114" customWidth="1"/>
    <col min="9222" max="9230" width="0" style="114" hidden="1" customWidth="1"/>
    <col min="9231" max="9237" width="6.42578125" style="114" customWidth="1"/>
    <col min="9238" max="9238" width="6.140625" style="114" customWidth="1"/>
    <col min="9239" max="9247" width="0" style="114" hidden="1" customWidth="1"/>
    <col min="9248" max="9250" width="6.42578125" style="114" customWidth="1"/>
    <col min="9251" max="9251" width="5.5703125" style="114" customWidth="1"/>
    <col min="9252" max="9269" width="6.7109375" style="114" customWidth="1"/>
    <col min="9270" max="9270" width="14.140625" style="114" customWidth="1"/>
    <col min="9271" max="9472" width="6.7109375" style="114"/>
    <col min="9473" max="9473" width="3.85546875" style="114" customWidth="1"/>
    <col min="9474" max="9474" width="23.42578125" style="114" customWidth="1"/>
    <col min="9475" max="9475" width="9.42578125" style="114" customWidth="1"/>
    <col min="9476" max="9477" width="7.42578125" style="114" customWidth="1"/>
    <col min="9478" max="9486" width="0" style="114" hidden="1" customWidth="1"/>
    <col min="9487" max="9493" width="6.42578125" style="114" customWidth="1"/>
    <col min="9494" max="9494" width="6.140625" style="114" customWidth="1"/>
    <col min="9495" max="9503" width="0" style="114" hidden="1" customWidth="1"/>
    <col min="9504" max="9506" width="6.42578125" style="114" customWidth="1"/>
    <col min="9507" max="9507" width="5.5703125" style="114" customWidth="1"/>
    <col min="9508" max="9525" width="6.7109375" style="114" customWidth="1"/>
    <col min="9526" max="9526" width="14.140625" style="114" customWidth="1"/>
    <col min="9527" max="9728" width="6.7109375" style="114"/>
    <col min="9729" max="9729" width="3.85546875" style="114" customWidth="1"/>
    <col min="9730" max="9730" width="23.42578125" style="114" customWidth="1"/>
    <col min="9731" max="9731" width="9.42578125" style="114" customWidth="1"/>
    <col min="9732" max="9733" width="7.42578125" style="114" customWidth="1"/>
    <col min="9734" max="9742" width="0" style="114" hidden="1" customWidth="1"/>
    <col min="9743" max="9749" width="6.42578125" style="114" customWidth="1"/>
    <col min="9750" max="9750" width="6.140625" style="114" customWidth="1"/>
    <col min="9751" max="9759" width="0" style="114" hidden="1" customWidth="1"/>
    <col min="9760" max="9762" width="6.42578125" style="114" customWidth="1"/>
    <col min="9763" max="9763" width="5.5703125" style="114" customWidth="1"/>
    <col min="9764" max="9781" width="6.7109375" style="114" customWidth="1"/>
    <col min="9782" max="9782" width="14.140625" style="114" customWidth="1"/>
    <col min="9783" max="9984" width="6.7109375" style="114"/>
    <col min="9985" max="9985" width="3.85546875" style="114" customWidth="1"/>
    <col min="9986" max="9986" width="23.42578125" style="114" customWidth="1"/>
    <col min="9987" max="9987" width="9.42578125" style="114" customWidth="1"/>
    <col min="9988" max="9989" width="7.42578125" style="114" customWidth="1"/>
    <col min="9990" max="9998" width="0" style="114" hidden="1" customWidth="1"/>
    <col min="9999" max="10005" width="6.42578125" style="114" customWidth="1"/>
    <col min="10006" max="10006" width="6.140625" style="114" customWidth="1"/>
    <col min="10007" max="10015" width="0" style="114" hidden="1" customWidth="1"/>
    <col min="10016" max="10018" width="6.42578125" style="114" customWidth="1"/>
    <col min="10019" max="10019" width="5.5703125" style="114" customWidth="1"/>
    <col min="10020" max="10037" width="6.7109375" style="114" customWidth="1"/>
    <col min="10038" max="10038" width="14.140625" style="114" customWidth="1"/>
    <col min="10039" max="10240" width="6.7109375" style="114"/>
    <col min="10241" max="10241" width="3.85546875" style="114" customWidth="1"/>
    <col min="10242" max="10242" width="23.42578125" style="114" customWidth="1"/>
    <col min="10243" max="10243" width="9.42578125" style="114" customWidth="1"/>
    <col min="10244" max="10245" width="7.42578125" style="114" customWidth="1"/>
    <col min="10246" max="10254" width="0" style="114" hidden="1" customWidth="1"/>
    <col min="10255" max="10261" width="6.42578125" style="114" customWidth="1"/>
    <col min="10262" max="10262" width="6.140625" style="114" customWidth="1"/>
    <col min="10263" max="10271" width="0" style="114" hidden="1" customWidth="1"/>
    <col min="10272" max="10274" width="6.42578125" style="114" customWidth="1"/>
    <col min="10275" max="10275" width="5.5703125" style="114" customWidth="1"/>
    <col min="10276" max="10293" width="6.7109375" style="114" customWidth="1"/>
    <col min="10294" max="10294" width="14.140625" style="114" customWidth="1"/>
    <col min="10295" max="10496" width="6.7109375" style="114"/>
    <col min="10497" max="10497" width="3.85546875" style="114" customWidth="1"/>
    <col min="10498" max="10498" width="23.42578125" style="114" customWidth="1"/>
    <col min="10499" max="10499" width="9.42578125" style="114" customWidth="1"/>
    <col min="10500" max="10501" width="7.42578125" style="114" customWidth="1"/>
    <col min="10502" max="10510" width="0" style="114" hidden="1" customWidth="1"/>
    <col min="10511" max="10517" width="6.42578125" style="114" customWidth="1"/>
    <col min="10518" max="10518" width="6.140625" style="114" customWidth="1"/>
    <col min="10519" max="10527" width="0" style="114" hidden="1" customWidth="1"/>
    <col min="10528" max="10530" width="6.42578125" style="114" customWidth="1"/>
    <col min="10531" max="10531" width="5.5703125" style="114" customWidth="1"/>
    <col min="10532" max="10549" width="6.7109375" style="114" customWidth="1"/>
    <col min="10550" max="10550" width="14.140625" style="114" customWidth="1"/>
    <col min="10551" max="10752" width="6.7109375" style="114"/>
    <col min="10753" max="10753" width="3.85546875" style="114" customWidth="1"/>
    <col min="10754" max="10754" width="23.42578125" style="114" customWidth="1"/>
    <col min="10755" max="10755" width="9.42578125" style="114" customWidth="1"/>
    <col min="10756" max="10757" width="7.42578125" style="114" customWidth="1"/>
    <col min="10758" max="10766" width="0" style="114" hidden="1" customWidth="1"/>
    <col min="10767" max="10773" width="6.42578125" style="114" customWidth="1"/>
    <col min="10774" max="10774" width="6.140625" style="114" customWidth="1"/>
    <col min="10775" max="10783" width="0" style="114" hidden="1" customWidth="1"/>
    <col min="10784" max="10786" width="6.42578125" style="114" customWidth="1"/>
    <col min="10787" max="10787" width="5.5703125" style="114" customWidth="1"/>
    <col min="10788" max="10805" width="6.7109375" style="114" customWidth="1"/>
    <col min="10806" max="10806" width="14.140625" style="114" customWidth="1"/>
    <col min="10807" max="11008" width="6.7109375" style="114"/>
    <col min="11009" max="11009" width="3.85546875" style="114" customWidth="1"/>
    <col min="11010" max="11010" width="23.42578125" style="114" customWidth="1"/>
    <col min="11011" max="11011" width="9.42578125" style="114" customWidth="1"/>
    <col min="11012" max="11013" width="7.42578125" style="114" customWidth="1"/>
    <col min="11014" max="11022" width="0" style="114" hidden="1" customWidth="1"/>
    <col min="11023" max="11029" width="6.42578125" style="114" customWidth="1"/>
    <col min="11030" max="11030" width="6.140625" style="114" customWidth="1"/>
    <col min="11031" max="11039" width="0" style="114" hidden="1" customWidth="1"/>
    <col min="11040" max="11042" width="6.42578125" style="114" customWidth="1"/>
    <col min="11043" max="11043" width="5.5703125" style="114" customWidth="1"/>
    <col min="11044" max="11061" width="6.7109375" style="114" customWidth="1"/>
    <col min="11062" max="11062" width="14.140625" style="114" customWidth="1"/>
    <col min="11063" max="11264" width="6.7109375" style="114"/>
    <col min="11265" max="11265" width="3.85546875" style="114" customWidth="1"/>
    <col min="11266" max="11266" width="23.42578125" style="114" customWidth="1"/>
    <col min="11267" max="11267" width="9.42578125" style="114" customWidth="1"/>
    <col min="11268" max="11269" width="7.42578125" style="114" customWidth="1"/>
    <col min="11270" max="11278" width="0" style="114" hidden="1" customWidth="1"/>
    <col min="11279" max="11285" width="6.42578125" style="114" customWidth="1"/>
    <col min="11286" max="11286" width="6.140625" style="114" customWidth="1"/>
    <col min="11287" max="11295" width="0" style="114" hidden="1" customWidth="1"/>
    <col min="11296" max="11298" width="6.42578125" style="114" customWidth="1"/>
    <col min="11299" max="11299" width="5.5703125" style="114" customWidth="1"/>
    <col min="11300" max="11317" width="6.7109375" style="114" customWidth="1"/>
    <col min="11318" max="11318" width="14.140625" style="114" customWidth="1"/>
    <col min="11319" max="11520" width="6.7109375" style="114"/>
    <col min="11521" max="11521" width="3.85546875" style="114" customWidth="1"/>
    <col min="11522" max="11522" width="23.42578125" style="114" customWidth="1"/>
    <col min="11523" max="11523" width="9.42578125" style="114" customWidth="1"/>
    <col min="11524" max="11525" width="7.42578125" style="114" customWidth="1"/>
    <col min="11526" max="11534" width="0" style="114" hidden="1" customWidth="1"/>
    <col min="11535" max="11541" width="6.42578125" style="114" customWidth="1"/>
    <col min="11542" max="11542" width="6.140625" style="114" customWidth="1"/>
    <col min="11543" max="11551" width="0" style="114" hidden="1" customWidth="1"/>
    <col min="11552" max="11554" width="6.42578125" style="114" customWidth="1"/>
    <col min="11555" max="11555" width="5.5703125" style="114" customWidth="1"/>
    <col min="11556" max="11573" width="6.7109375" style="114" customWidth="1"/>
    <col min="11574" max="11574" width="14.140625" style="114" customWidth="1"/>
    <col min="11575" max="11776" width="6.7109375" style="114"/>
    <col min="11777" max="11777" width="3.85546875" style="114" customWidth="1"/>
    <col min="11778" max="11778" width="23.42578125" style="114" customWidth="1"/>
    <col min="11779" max="11779" width="9.42578125" style="114" customWidth="1"/>
    <col min="11780" max="11781" width="7.42578125" style="114" customWidth="1"/>
    <col min="11782" max="11790" width="0" style="114" hidden="1" customWidth="1"/>
    <col min="11791" max="11797" width="6.42578125" style="114" customWidth="1"/>
    <col min="11798" max="11798" width="6.140625" style="114" customWidth="1"/>
    <col min="11799" max="11807" width="0" style="114" hidden="1" customWidth="1"/>
    <col min="11808" max="11810" width="6.42578125" style="114" customWidth="1"/>
    <col min="11811" max="11811" width="5.5703125" style="114" customWidth="1"/>
    <col min="11812" max="11829" width="6.7109375" style="114" customWidth="1"/>
    <col min="11830" max="11830" width="14.140625" style="114" customWidth="1"/>
    <col min="11831" max="12032" width="6.7109375" style="114"/>
    <col min="12033" max="12033" width="3.85546875" style="114" customWidth="1"/>
    <col min="12034" max="12034" width="23.42578125" style="114" customWidth="1"/>
    <col min="12035" max="12035" width="9.42578125" style="114" customWidth="1"/>
    <col min="12036" max="12037" width="7.42578125" style="114" customWidth="1"/>
    <col min="12038" max="12046" width="0" style="114" hidden="1" customWidth="1"/>
    <col min="12047" max="12053" width="6.42578125" style="114" customWidth="1"/>
    <col min="12054" max="12054" width="6.140625" style="114" customWidth="1"/>
    <col min="12055" max="12063" width="0" style="114" hidden="1" customWidth="1"/>
    <col min="12064" max="12066" width="6.42578125" style="114" customWidth="1"/>
    <col min="12067" max="12067" width="5.5703125" style="114" customWidth="1"/>
    <col min="12068" max="12085" width="6.7109375" style="114" customWidth="1"/>
    <col min="12086" max="12086" width="14.140625" style="114" customWidth="1"/>
    <col min="12087" max="12288" width="6.7109375" style="114"/>
    <col min="12289" max="12289" width="3.85546875" style="114" customWidth="1"/>
    <col min="12290" max="12290" width="23.42578125" style="114" customWidth="1"/>
    <col min="12291" max="12291" width="9.42578125" style="114" customWidth="1"/>
    <col min="12292" max="12293" width="7.42578125" style="114" customWidth="1"/>
    <col min="12294" max="12302" width="0" style="114" hidden="1" customWidth="1"/>
    <col min="12303" max="12309" width="6.42578125" style="114" customWidth="1"/>
    <col min="12310" max="12310" width="6.140625" style="114" customWidth="1"/>
    <col min="12311" max="12319" width="0" style="114" hidden="1" customWidth="1"/>
    <col min="12320" max="12322" width="6.42578125" style="114" customWidth="1"/>
    <col min="12323" max="12323" width="5.5703125" style="114" customWidth="1"/>
    <col min="12324" max="12341" width="6.7109375" style="114" customWidth="1"/>
    <col min="12342" max="12342" width="14.140625" style="114" customWidth="1"/>
    <col min="12343" max="12544" width="6.7109375" style="114"/>
    <col min="12545" max="12545" width="3.85546875" style="114" customWidth="1"/>
    <col min="12546" max="12546" width="23.42578125" style="114" customWidth="1"/>
    <col min="12547" max="12547" width="9.42578125" style="114" customWidth="1"/>
    <col min="12548" max="12549" width="7.42578125" style="114" customWidth="1"/>
    <col min="12550" max="12558" width="0" style="114" hidden="1" customWidth="1"/>
    <col min="12559" max="12565" width="6.42578125" style="114" customWidth="1"/>
    <col min="12566" max="12566" width="6.140625" style="114" customWidth="1"/>
    <col min="12567" max="12575" width="0" style="114" hidden="1" customWidth="1"/>
    <col min="12576" max="12578" width="6.42578125" style="114" customWidth="1"/>
    <col min="12579" max="12579" width="5.5703125" style="114" customWidth="1"/>
    <col min="12580" max="12597" width="6.7109375" style="114" customWidth="1"/>
    <col min="12598" max="12598" width="14.140625" style="114" customWidth="1"/>
    <col min="12599" max="12800" width="6.7109375" style="114"/>
    <col min="12801" max="12801" width="3.85546875" style="114" customWidth="1"/>
    <col min="12802" max="12802" width="23.42578125" style="114" customWidth="1"/>
    <col min="12803" max="12803" width="9.42578125" style="114" customWidth="1"/>
    <col min="12804" max="12805" width="7.42578125" style="114" customWidth="1"/>
    <col min="12806" max="12814" width="0" style="114" hidden="1" customWidth="1"/>
    <col min="12815" max="12821" width="6.42578125" style="114" customWidth="1"/>
    <col min="12822" max="12822" width="6.140625" style="114" customWidth="1"/>
    <col min="12823" max="12831" width="0" style="114" hidden="1" customWidth="1"/>
    <col min="12832" max="12834" width="6.42578125" style="114" customWidth="1"/>
    <col min="12835" max="12835" width="5.5703125" style="114" customWidth="1"/>
    <col min="12836" max="12853" width="6.7109375" style="114" customWidth="1"/>
    <col min="12854" max="12854" width="14.140625" style="114" customWidth="1"/>
    <col min="12855" max="13056" width="6.7109375" style="114"/>
    <col min="13057" max="13057" width="3.85546875" style="114" customWidth="1"/>
    <col min="13058" max="13058" width="23.42578125" style="114" customWidth="1"/>
    <col min="13059" max="13059" width="9.42578125" style="114" customWidth="1"/>
    <col min="13060" max="13061" width="7.42578125" style="114" customWidth="1"/>
    <col min="13062" max="13070" width="0" style="114" hidden="1" customWidth="1"/>
    <col min="13071" max="13077" width="6.42578125" style="114" customWidth="1"/>
    <col min="13078" max="13078" width="6.140625" style="114" customWidth="1"/>
    <col min="13079" max="13087" width="0" style="114" hidden="1" customWidth="1"/>
    <col min="13088" max="13090" width="6.42578125" style="114" customWidth="1"/>
    <col min="13091" max="13091" width="5.5703125" style="114" customWidth="1"/>
    <col min="13092" max="13109" width="6.7109375" style="114" customWidth="1"/>
    <col min="13110" max="13110" width="14.140625" style="114" customWidth="1"/>
    <col min="13111" max="13312" width="6.7109375" style="114"/>
    <col min="13313" max="13313" width="3.85546875" style="114" customWidth="1"/>
    <col min="13314" max="13314" width="23.42578125" style="114" customWidth="1"/>
    <col min="13315" max="13315" width="9.42578125" style="114" customWidth="1"/>
    <col min="13316" max="13317" width="7.42578125" style="114" customWidth="1"/>
    <col min="13318" max="13326" width="0" style="114" hidden="1" customWidth="1"/>
    <col min="13327" max="13333" width="6.42578125" style="114" customWidth="1"/>
    <col min="13334" max="13334" width="6.140625" style="114" customWidth="1"/>
    <col min="13335" max="13343" width="0" style="114" hidden="1" customWidth="1"/>
    <col min="13344" max="13346" width="6.42578125" style="114" customWidth="1"/>
    <col min="13347" max="13347" width="5.5703125" style="114" customWidth="1"/>
    <col min="13348" max="13365" width="6.7109375" style="114" customWidth="1"/>
    <col min="13366" max="13366" width="14.140625" style="114" customWidth="1"/>
    <col min="13367" max="13568" width="6.7109375" style="114"/>
    <col min="13569" max="13569" width="3.85546875" style="114" customWidth="1"/>
    <col min="13570" max="13570" width="23.42578125" style="114" customWidth="1"/>
    <col min="13571" max="13571" width="9.42578125" style="114" customWidth="1"/>
    <col min="13572" max="13573" width="7.42578125" style="114" customWidth="1"/>
    <col min="13574" max="13582" width="0" style="114" hidden="1" customWidth="1"/>
    <col min="13583" max="13589" width="6.42578125" style="114" customWidth="1"/>
    <col min="13590" max="13590" width="6.140625" style="114" customWidth="1"/>
    <col min="13591" max="13599" width="0" style="114" hidden="1" customWidth="1"/>
    <col min="13600" max="13602" width="6.42578125" style="114" customWidth="1"/>
    <col min="13603" max="13603" width="5.5703125" style="114" customWidth="1"/>
    <col min="13604" max="13621" width="6.7109375" style="114" customWidth="1"/>
    <col min="13622" max="13622" width="14.140625" style="114" customWidth="1"/>
    <col min="13623" max="13824" width="6.7109375" style="114"/>
    <col min="13825" max="13825" width="3.85546875" style="114" customWidth="1"/>
    <col min="13826" max="13826" width="23.42578125" style="114" customWidth="1"/>
    <col min="13827" max="13827" width="9.42578125" style="114" customWidth="1"/>
    <col min="13828" max="13829" width="7.42578125" style="114" customWidth="1"/>
    <col min="13830" max="13838" width="0" style="114" hidden="1" customWidth="1"/>
    <col min="13839" max="13845" width="6.42578125" style="114" customWidth="1"/>
    <col min="13846" max="13846" width="6.140625" style="114" customWidth="1"/>
    <col min="13847" max="13855" width="0" style="114" hidden="1" customWidth="1"/>
    <col min="13856" max="13858" width="6.42578125" style="114" customWidth="1"/>
    <col min="13859" max="13859" width="5.5703125" style="114" customWidth="1"/>
    <col min="13860" max="13877" width="6.7109375" style="114" customWidth="1"/>
    <col min="13878" max="13878" width="14.140625" style="114" customWidth="1"/>
    <col min="13879" max="14080" width="6.7109375" style="114"/>
    <col min="14081" max="14081" width="3.85546875" style="114" customWidth="1"/>
    <col min="14082" max="14082" width="23.42578125" style="114" customWidth="1"/>
    <col min="14083" max="14083" width="9.42578125" style="114" customWidth="1"/>
    <col min="14084" max="14085" width="7.42578125" style="114" customWidth="1"/>
    <col min="14086" max="14094" width="0" style="114" hidden="1" customWidth="1"/>
    <col min="14095" max="14101" width="6.42578125" style="114" customWidth="1"/>
    <col min="14102" max="14102" width="6.140625" style="114" customWidth="1"/>
    <col min="14103" max="14111" width="0" style="114" hidden="1" customWidth="1"/>
    <col min="14112" max="14114" width="6.42578125" style="114" customWidth="1"/>
    <col min="14115" max="14115" width="5.5703125" style="114" customWidth="1"/>
    <col min="14116" max="14133" width="6.7109375" style="114" customWidth="1"/>
    <col min="14134" max="14134" width="14.140625" style="114" customWidth="1"/>
    <col min="14135" max="14336" width="6.7109375" style="114"/>
    <col min="14337" max="14337" width="3.85546875" style="114" customWidth="1"/>
    <col min="14338" max="14338" width="23.42578125" style="114" customWidth="1"/>
    <col min="14339" max="14339" width="9.42578125" style="114" customWidth="1"/>
    <col min="14340" max="14341" width="7.42578125" style="114" customWidth="1"/>
    <col min="14342" max="14350" width="0" style="114" hidden="1" customWidth="1"/>
    <col min="14351" max="14357" width="6.42578125" style="114" customWidth="1"/>
    <col min="14358" max="14358" width="6.140625" style="114" customWidth="1"/>
    <col min="14359" max="14367" width="0" style="114" hidden="1" customWidth="1"/>
    <col min="14368" max="14370" width="6.42578125" style="114" customWidth="1"/>
    <col min="14371" max="14371" width="5.5703125" style="114" customWidth="1"/>
    <col min="14372" max="14389" width="6.7109375" style="114" customWidth="1"/>
    <col min="14390" max="14390" width="14.140625" style="114" customWidth="1"/>
    <col min="14391" max="14592" width="6.7109375" style="114"/>
    <col min="14593" max="14593" width="3.85546875" style="114" customWidth="1"/>
    <col min="14594" max="14594" width="23.42578125" style="114" customWidth="1"/>
    <col min="14595" max="14595" width="9.42578125" style="114" customWidth="1"/>
    <col min="14596" max="14597" width="7.42578125" style="114" customWidth="1"/>
    <col min="14598" max="14606" width="0" style="114" hidden="1" customWidth="1"/>
    <col min="14607" max="14613" width="6.42578125" style="114" customWidth="1"/>
    <col min="14614" max="14614" width="6.140625" style="114" customWidth="1"/>
    <col min="14615" max="14623" width="0" style="114" hidden="1" customWidth="1"/>
    <col min="14624" max="14626" width="6.42578125" style="114" customWidth="1"/>
    <col min="14627" max="14627" width="5.5703125" style="114" customWidth="1"/>
    <col min="14628" max="14645" width="6.7109375" style="114" customWidth="1"/>
    <col min="14646" max="14646" width="14.140625" style="114" customWidth="1"/>
    <col min="14647" max="14848" width="6.7109375" style="114"/>
    <col min="14849" max="14849" width="3.85546875" style="114" customWidth="1"/>
    <col min="14850" max="14850" width="23.42578125" style="114" customWidth="1"/>
    <col min="14851" max="14851" width="9.42578125" style="114" customWidth="1"/>
    <col min="14852" max="14853" width="7.42578125" style="114" customWidth="1"/>
    <col min="14854" max="14862" width="0" style="114" hidden="1" customWidth="1"/>
    <col min="14863" max="14869" width="6.42578125" style="114" customWidth="1"/>
    <col min="14870" max="14870" width="6.140625" style="114" customWidth="1"/>
    <col min="14871" max="14879" width="0" style="114" hidden="1" customWidth="1"/>
    <col min="14880" max="14882" width="6.42578125" style="114" customWidth="1"/>
    <col min="14883" max="14883" width="5.5703125" style="114" customWidth="1"/>
    <col min="14884" max="14901" width="6.7109375" style="114" customWidth="1"/>
    <col min="14902" max="14902" width="14.140625" style="114" customWidth="1"/>
    <col min="14903" max="15104" width="6.7109375" style="114"/>
    <col min="15105" max="15105" width="3.85546875" style="114" customWidth="1"/>
    <col min="15106" max="15106" width="23.42578125" style="114" customWidth="1"/>
    <col min="15107" max="15107" width="9.42578125" style="114" customWidth="1"/>
    <col min="15108" max="15109" width="7.42578125" style="114" customWidth="1"/>
    <col min="15110" max="15118" width="0" style="114" hidden="1" customWidth="1"/>
    <col min="15119" max="15125" width="6.42578125" style="114" customWidth="1"/>
    <col min="15126" max="15126" width="6.140625" style="114" customWidth="1"/>
    <col min="15127" max="15135" width="0" style="114" hidden="1" customWidth="1"/>
    <col min="15136" max="15138" width="6.42578125" style="114" customWidth="1"/>
    <col min="15139" max="15139" width="5.5703125" style="114" customWidth="1"/>
    <col min="15140" max="15157" width="6.7109375" style="114" customWidth="1"/>
    <col min="15158" max="15158" width="14.140625" style="114" customWidth="1"/>
    <col min="15159" max="15360" width="6.7109375" style="114"/>
    <col min="15361" max="15361" width="3.85546875" style="114" customWidth="1"/>
    <col min="15362" max="15362" width="23.42578125" style="114" customWidth="1"/>
    <col min="15363" max="15363" width="9.42578125" style="114" customWidth="1"/>
    <col min="15364" max="15365" width="7.42578125" style="114" customWidth="1"/>
    <col min="15366" max="15374" width="0" style="114" hidden="1" customWidth="1"/>
    <col min="15375" max="15381" width="6.42578125" style="114" customWidth="1"/>
    <col min="15382" max="15382" width="6.140625" style="114" customWidth="1"/>
    <col min="15383" max="15391" width="0" style="114" hidden="1" customWidth="1"/>
    <col min="15392" max="15394" width="6.42578125" style="114" customWidth="1"/>
    <col min="15395" max="15395" width="5.5703125" style="114" customWidth="1"/>
    <col min="15396" max="15413" width="6.7109375" style="114" customWidth="1"/>
    <col min="15414" max="15414" width="14.140625" style="114" customWidth="1"/>
    <col min="15415" max="15616" width="6.7109375" style="114"/>
    <col min="15617" max="15617" width="3.85546875" style="114" customWidth="1"/>
    <col min="15618" max="15618" width="23.42578125" style="114" customWidth="1"/>
    <col min="15619" max="15619" width="9.42578125" style="114" customWidth="1"/>
    <col min="15620" max="15621" width="7.42578125" style="114" customWidth="1"/>
    <col min="15622" max="15630" width="0" style="114" hidden="1" customWidth="1"/>
    <col min="15631" max="15637" width="6.42578125" style="114" customWidth="1"/>
    <col min="15638" max="15638" width="6.140625" style="114" customWidth="1"/>
    <col min="15639" max="15647" width="0" style="114" hidden="1" customWidth="1"/>
    <col min="15648" max="15650" width="6.42578125" style="114" customWidth="1"/>
    <col min="15651" max="15651" width="5.5703125" style="114" customWidth="1"/>
    <col min="15652" max="15669" width="6.7109375" style="114" customWidth="1"/>
    <col min="15670" max="15670" width="14.140625" style="114" customWidth="1"/>
    <col min="15671" max="15872" width="6.7109375" style="114"/>
    <col min="15873" max="15873" width="3.85546875" style="114" customWidth="1"/>
    <col min="15874" max="15874" width="23.42578125" style="114" customWidth="1"/>
    <col min="15875" max="15875" width="9.42578125" style="114" customWidth="1"/>
    <col min="15876" max="15877" width="7.42578125" style="114" customWidth="1"/>
    <col min="15878" max="15886" width="0" style="114" hidden="1" customWidth="1"/>
    <col min="15887" max="15893" width="6.42578125" style="114" customWidth="1"/>
    <col min="15894" max="15894" width="6.140625" style="114" customWidth="1"/>
    <col min="15895" max="15903" width="0" style="114" hidden="1" customWidth="1"/>
    <col min="15904" max="15906" width="6.42578125" style="114" customWidth="1"/>
    <col min="15907" max="15907" width="5.5703125" style="114" customWidth="1"/>
    <col min="15908" max="15925" width="6.7109375" style="114" customWidth="1"/>
    <col min="15926" max="15926" width="14.140625" style="114" customWidth="1"/>
    <col min="15927" max="16128" width="6.7109375" style="114"/>
    <col min="16129" max="16129" width="3.85546875" style="114" customWidth="1"/>
    <col min="16130" max="16130" width="23.42578125" style="114" customWidth="1"/>
    <col min="16131" max="16131" width="9.42578125" style="114" customWidth="1"/>
    <col min="16132" max="16133" width="7.42578125" style="114" customWidth="1"/>
    <col min="16134" max="16142" width="0" style="114" hidden="1" customWidth="1"/>
    <col min="16143" max="16149" width="6.42578125" style="114" customWidth="1"/>
    <col min="16150" max="16150" width="6.140625" style="114" customWidth="1"/>
    <col min="16151" max="16159" width="0" style="114" hidden="1" customWidth="1"/>
    <col min="16160" max="16162" width="6.42578125" style="114" customWidth="1"/>
    <col min="16163" max="16163" width="5.5703125" style="114" customWidth="1"/>
    <col min="16164" max="16181" width="6.7109375" style="114" customWidth="1"/>
    <col min="16182" max="16182" width="14.140625" style="114" customWidth="1"/>
    <col min="16183" max="16384" width="6.7109375" style="114"/>
  </cols>
  <sheetData>
    <row r="1" spans="1:35" s="112" customFormat="1" ht="15.75" customHeight="1" x14ac:dyDescent="0.25">
      <c r="A1" s="110"/>
      <c r="B1" s="111"/>
      <c r="C1" s="111"/>
      <c r="D1" s="111"/>
      <c r="F1" s="113"/>
      <c r="G1" s="113"/>
      <c r="U1" s="205" t="s">
        <v>652</v>
      </c>
      <c r="V1" s="205"/>
      <c r="W1" s="205"/>
      <c r="X1" s="205"/>
      <c r="Y1" s="205"/>
      <c r="Z1" s="205"/>
      <c r="AA1" s="205"/>
      <c r="AB1" s="205"/>
      <c r="AC1" s="205"/>
      <c r="AD1" s="205"/>
      <c r="AE1" s="205"/>
      <c r="AF1" s="205"/>
      <c r="AG1" s="205"/>
      <c r="AH1" s="205"/>
      <c r="AI1" s="205"/>
    </row>
    <row r="2" spans="1:35" s="112" customFormat="1" ht="11.25" customHeight="1" x14ac:dyDescent="0.25">
      <c r="A2" s="110"/>
      <c r="B2" s="111"/>
      <c r="C2" s="111"/>
      <c r="D2" s="111"/>
      <c r="F2" s="113"/>
      <c r="G2" s="113"/>
      <c r="W2" s="113"/>
      <c r="X2" s="113"/>
    </row>
    <row r="3" spans="1:35" ht="15.6" customHeight="1" x14ac:dyDescent="0.25">
      <c r="A3" s="206" t="s">
        <v>584</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row>
    <row r="4" spans="1:35" s="115" customFormat="1" ht="18.75" customHeight="1" x14ac:dyDescent="0.25">
      <c r="A4" s="207" t="s">
        <v>663</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row>
    <row r="5" spans="1:35" s="115" customFormat="1" ht="15.75" customHeight="1" x14ac:dyDescent="0.25">
      <c r="A5" s="208" t="s">
        <v>563</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row>
    <row r="6" spans="1:35" s="115" customFormat="1" ht="15" customHeight="1" x14ac:dyDescent="0.25">
      <c r="A6" s="199" t="s">
        <v>0</v>
      </c>
      <c r="B6" s="199" t="s">
        <v>302</v>
      </c>
      <c r="C6" s="199" t="s">
        <v>590</v>
      </c>
      <c r="D6" s="199"/>
      <c r="E6" s="199"/>
      <c r="F6" s="199"/>
      <c r="G6" s="199"/>
      <c r="H6" s="199"/>
      <c r="I6" s="199"/>
      <c r="J6" s="199"/>
      <c r="K6" s="199"/>
      <c r="L6" s="199"/>
      <c r="M6" s="199"/>
      <c r="N6" s="199"/>
      <c r="O6" s="203" t="s">
        <v>134</v>
      </c>
      <c r="P6" s="209"/>
      <c r="Q6" s="209"/>
      <c r="R6" s="209"/>
      <c r="S6" s="209"/>
      <c r="T6" s="209"/>
      <c r="U6" s="209"/>
      <c r="V6" s="209"/>
      <c r="W6" s="209"/>
      <c r="X6" s="209"/>
      <c r="Y6" s="209"/>
      <c r="Z6" s="209"/>
      <c r="AA6" s="209"/>
      <c r="AB6" s="209"/>
      <c r="AC6" s="209"/>
      <c r="AD6" s="209"/>
      <c r="AE6" s="209"/>
      <c r="AF6" s="204"/>
      <c r="AG6" s="203" t="s">
        <v>303</v>
      </c>
      <c r="AH6" s="209"/>
      <c r="AI6" s="204"/>
    </row>
    <row r="7" spans="1:35" s="115" customFormat="1" ht="12" customHeight="1" x14ac:dyDescent="0.25">
      <c r="A7" s="199"/>
      <c r="B7" s="199"/>
      <c r="C7" s="199" t="s">
        <v>24</v>
      </c>
      <c r="D7" s="199" t="s">
        <v>29</v>
      </c>
      <c r="E7" s="199"/>
      <c r="F7" s="116"/>
      <c r="G7" s="116"/>
      <c r="H7" s="116"/>
      <c r="I7" s="116"/>
      <c r="J7" s="116"/>
      <c r="K7" s="116"/>
      <c r="L7" s="116"/>
      <c r="M7" s="116"/>
      <c r="N7" s="116"/>
      <c r="O7" s="199" t="s">
        <v>24</v>
      </c>
      <c r="P7" s="199" t="s">
        <v>29</v>
      </c>
      <c r="Q7" s="199"/>
      <c r="R7" s="199" t="s">
        <v>30</v>
      </c>
      <c r="S7" s="199"/>
      <c r="T7" s="199"/>
      <c r="U7" s="199"/>
      <c r="V7" s="199"/>
      <c r="W7" s="199"/>
      <c r="X7" s="199"/>
      <c r="Y7" s="199"/>
      <c r="Z7" s="199"/>
      <c r="AA7" s="199"/>
      <c r="AB7" s="199"/>
      <c r="AC7" s="199"/>
      <c r="AD7" s="199"/>
      <c r="AE7" s="199"/>
      <c r="AF7" s="199"/>
      <c r="AG7" s="200" t="s">
        <v>24</v>
      </c>
      <c r="AH7" s="203" t="s">
        <v>29</v>
      </c>
      <c r="AI7" s="204"/>
    </row>
    <row r="8" spans="1:35" s="115" customFormat="1" ht="12" customHeight="1" x14ac:dyDescent="0.25">
      <c r="A8" s="199"/>
      <c r="B8" s="199"/>
      <c r="C8" s="199"/>
      <c r="D8" s="199" t="s">
        <v>128</v>
      </c>
      <c r="E8" s="199" t="s">
        <v>129</v>
      </c>
      <c r="F8" s="199" t="s">
        <v>26</v>
      </c>
      <c r="G8" s="199"/>
      <c r="H8" s="199"/>
      <c r="I8" s="199"/>
      <c r="J8" s="199"/>
      <c r="K8" s="199"/>
      <c r="L8" s="199"/>
      <c r="M8" s="199"/>
      <c r="N8" s="199"/>
      <c r="O8" s="199"/>
      <c r="P8" s="199" t="s">
        <v>128</v>
      </c>
      <c r="Q8" s="199" t="s">
        <v>129</v>
      </c>
      <c r="R8" s="199" t="s">
        <v>66</v>
      </c>
      <c r="S8" s="199"/>
      <c r="T8" s="199"/>
      <c r="U8" s="199" t="s">
        <v>129</v>
      </c>
      <c r="V8" s="199"/>
      <c r="W8" s="199"/>
      <c r="X8" s="199"/>
      <c r="Y8" s="199"/>
      <c r="Z8" s="199"/>
      <c r="AA8" s="199"/>
      <c r="AB8" s="199"/>
      <c r="AC8" s="199"/>
      <c r="AD8" s="199"/>
      <c r="AE8" s="199"/>
      <c r="AF8" s="199"/>
      <c r="AG8" s="201"/>
      <c r="AH8" s="200" t="s">
        <v>128</v>
      </c>
      <c r="AI8" s="200" t="s">
        <v>129</v>
      </c>
    </row>
    <row r="9" spans="1:35" s="115" customFormat="1" ht="12" customHeight="1" x14ac:dyDescent="0.25">
      <c r="A9" s="199"/>
      <c r="B9" s="199"/>
      <c r="C9" s="199"/>
      <c r="D9" s="199"/>
      <c r="E9" s="199"/>
      <c r="F9" s="199"/>
      <c r="G9" s="199"/>
      <c r="H9" s="199"/>
      <c r="I9" s="199"/>
      <c r="J9" s="199"/>
      <c r="K9" s="199"/>
      <c r="L9" s="199"/>
      <c r="M9" s="199"/>
      <c r="N9" s="199"/>
      <c r="O9" s="199"/>
      <c r="P9" s="199"/>
      <c r="Q9" s="199"/>
      <c r="R9" s="200" t="s">
        <v>24</v>
      </c>
      <c r="S9" s="203" t="s">
        <v>131</v>
      </c>
      <c r="T9" s="204"/>
      <c r="U9" s="199" t="s">
        <v>24</v>
      </c>
      <c r="V9" s="199" t="s">
        <v>131</v>
      </c>
      <c r="W9" s="199"/>
      <c r="X9" s="199"/>
      <c r="Y9" s="199"/>
      <c r="Z9" s="199"/>
      <c r="AA9" s="199"/>
      <c r="AB9" s="199"/>
      <c r="AC9" s="199"/>
      <c r="AD9" s="199"/>
      <c r="AE9" s="199"/>
      <c r="AF9" s="199"/>
      <c r="AG9" s="201"/>
      <c r="AH9" s="201"/>
      <c r="AI9" s="201"/>
    </row>
    <row r="10" spans="1:35" s="115" customFormat="1" ht="41.25" customHeight="1" x14ac:dyDescent="0.25">
      <c r="A10" s="199"/>
      <c r="B10" s="199"/>
      <c r="C10" s="199"/>
      <c r="D10" s="199"/>
      <c r="E10" s="199"/>
      <c r="F10" s="117" t="s">
        <v>304</v>
      </c>
      <c r="G10" s="117" t="s">
        <v>592</v>
      </c>
      <c r="H10" s="117" t="s">
        <v>593</v>
      </c>
      <c r="I10" s="117" t="s">
        <v>305</v>
      </c>
      <c r="J10" s="117" t="s">
        <v>594</v>
      </c>
      <c r="K10" s="117" t="s">
        <v>306</v>
      </c>
      <c r="L10" s="117" t="s">
        <v>595</v>
      </c>
      <c r="M10" s="117" t="s">
        <v>596</v>
      </c>
      <c r="N10" s="117" t="s">
        <v>597</v>
      </c>
      <c r="O10" s="199"/>
      <c r="P10" s="199"/>
      <c r="Q10" s="199"/>
      <c r="R10" s="202"/>
      <c r="S10" s="116" t="s">
        <v>27</v>
      </c>
      <c r="T10" s="116" t="s">
        <v>130</v>
      </c>
      <c r="U10" s="199"/>
      <c r="V10" s="116" t="s">
        <v>27</v>
      </c>
      <c r="W10" s="117" t="s">
        <v>304</v>
      </c>
      <c r="X10" s="117" t="s">
        <v>592</v>
      </c>
      <c r="Y10" s="117" t="s">
        <v>593</v>
      </c>
      <c r="Z10" s="117" t="s">
        <v>305</v>
      </c>
      <c r="AA10" s="117" t="s">
        <v>594</v>
      </c>
      <c r="AB10" s="117" t="s">
        <v>306</v>
      </c>
      <c r="AC10" s="117" t="s">
        <v>595</v>
      </c>
      <c r="AD10" s="117" t="s">
        <v>596</v>
      </c>
      <c r="AE10" s="117" t="s">
        <v>597</v>
      </c>
      <c r="AF10" s="116" t="s">
        <v>130</v>
      </c>
      <c r="AG10" s="202"/>
      <c r="AH10" s="202"/>
      <c r="AI10" s="202"/>
    </row>
    <row r="11" spans="1:35" s="115" customFormat="1" ht="16.5" customHeight="1" x14ac:dyDescent="0.25">
      <c r="A11" s="117" t="s">
        <v>2</v>
      </c>
      <c r="B11" s="117" t="s">
        <v>3</v>
      </c>
      <c r="C11" s="117">
        <v>1</v>
      </c>
      <c r="D11" s="117">
        <v>2</v>
      </c>
      <c r="E11" s="117">
        <v>3</v>
      </c>
      <c r="F11" s="117"/>
      <c r="G11" s="117"/>
      <c r="H11" s="117"/>
      <c r="I11" s="117"/>
      <c r="J11" s="117"/>
      <c r="K11" s="117"/>
      <c r="L11" s="117"/>
      <c r="M11" s="117"/>
      <c r="N11" s="117"/>
      <c r="O11" s="117">
        <v>4</v>
      </c>
      <c r="P11" s="117">
        <v>5</v>
      </c>
      <c r="Q11" s="117">
        <v>6</v>
      </c>
      <c r="R11" s="117">
        <v>7</v>
      </c>
      <c r="S11" s="117">
        <v>8</v>
      </c>
      <c r="T11" s="117">
        <v>9</v>
      </c>
      <c r="U11" s="117">
        <v>10</v>
      </c>
      <c r="V11" s="117">
        <v>11</v>
      </c>
      <c r="W11" s="117"/>
      <c r="X11" s="117"/>
      <c r="Y11" s="117"/>
      <c r="Z11" s="117"/>
      <c r="AA11" s="117"/>
      <c r="AB11" s="117"/>
      <c r="AC11" s="117"/>
      <c r="AD11" s="117"/>
      <c r="AE11" s="117"/>
      <c r="AF11" s="117">
        <v>12</v>
      </c>
      <c r="AG11" s="117" t="s">
        <v>307</v>
      </c>
      <c r="AH11" s="117" t="s">
        <v>308</v>
      </c>
      <c r="AI11" s="117" t="s">
        <v>309</v>
      </c>
    </row>
    <row r="12" spans="1:35" s="115" customFormat="1" ht="15.75" customHeight="1" x14ac:dyDescent="0.25">
      <c r="A12" s="117"/>
      <c r="B12" s="116" t="s">
        <v>25</v>
      </c>
      <c r="C12" s="118">
        <f>C13+C160</f>
        <v>101917</v>
      </c>
      <c r="D12" s="118">
        <f>D13+D160</f>
        <v>69364</v>
      </c>
      <c r="E12" s="118">
        <f>E13+E160</f>
        <v>32553</v>
      </c>
      <c r="F12" s="117"/>
      <c r="G12" s="117"/>
      <c r="H12" s="117"/>
      <c r="I12" s="117"/>
      <c r="J12" s="117"/>
      <c r="K12" s="117"/>
      <c r="L12" s="117"/>
      <c r="M12" s="117"/>
      <c r="N12" s="117"/>
      <c r="O12" s="118">
        <f>O13+O160</f>
        <v>91777</v>
      </c>
      <c r="P12" s="118">
        <f>P13+P160</f>
        <v>63933</v>
      </c>
      <c r="Q12" s="118">
        <f>Q13+Q160</f>
        <v>27844</v>
      </c>
      <c r="R12" s="118">
        <f>R13+R160</f>
        <v>63933</v>
      </c>
      <c r="S12" s="118">
        <f>S13+S160</f>
        <v>63933</v>
      </c>
      <c r="T12" s="117"/>
      <c r="U12" s="118">
        <f>U13+U160</f>
        <v>27844</v>
      </c>
      <c r="V12" s="118">
        <f>V13+V160</f>
        <v>27844</v>
      </c>
      <c r="W12" s="117"/>
      <c r="X12" s="117"/>
      <c r="Y12" s="117"/>
      <c r="Z12" s="117"/>
      <c r="AA12" s="117"/>
      <c r="AB12" s="117"/>
      <c r="AC12" s="117"/>
      <c r="AD12" s="117"/>
      <c r="AE12" s="117"/>
      <c r="AF12" s="117"/>
      <c r="AG12" s="119">
        <f>O12/C12*100</f>
        <v>90.050727552812589</v>
      </c>
      <c r="AH12" s="119">
        <f>P12/D12*100</f>
        <v>92.170290064010146</v>
      </c>
      <c r="AI12" s="119">
        <f>Q12/E12*100</f>
        <v>85.534359352440632</v>
      </c>
    </row>
    <row r="13" spans="1:35" s="122" customFormat="1" ht="13.5" customHeight="1" x14ac:dyDescent="0.25">
      <c r="A13" s="116" t="s">
        <v>11</v>
      </c>
      <c r="B13" s="120" t="s">
        <v>310</v>
      </c>
      <c r="C13" s="120">
        <f>D13+E13</f>
        <v>10891</v>
      </c>
      <c r="D13" s="120"/>
      <c r="E13" s="120">
        <f t="shared" ref="E13:N13" si="0">SUM(E14,E15,E19,E68,E71,E75,E79,E81,E84,E88,E95,E124,E132,E136,E140,E142,E144,E147:E150,E153,,E155:E159)</f>
        <v>10891</v>
      </c>
      <c r="F13" s="120">
        <f t="shared" si="0"/>
        <v>0</v>
      </c>
      <c r="G13" s="120">
        <f t="shared" si="0"/>
        <v>0</v>
      </c>
      <c r="H13" s="120">
        <f t="shared" si="0"/>
        <v>0</v>
      </c>
      <c r="I13" s="120">
        <f t="shared" si="0"/>
        <v>0</v>
      </c>
      <c r="J13" s="120">
        <f t="shared" si="0"/>
        <v>0</v>
      </c>
      <c r="K13" s="120">
        <f t="shared" si="0"/>
        <v>0</v>
      </c>
      <c r="L13" s="120">
        <f t="shared" si="0"/>
        <v>7793</v>
      </c>
      <c r="M13" s="120">
        <f t="shared" si="0"/>
        <v>0</v>
      </c>
      <c r="N13" s="120">
        <f t="shared" si="0"/>
        <v>4698</v>
      </c>
      <c r="O13" s="120">
        <f>P13+Q13</f>
        <v>13015</v>
      </c>
      <c r="P13" s="120">
        <v>73</v>
      </c>
      <c r="Q13" s="120">
        <f>U13</f>
        <v>12942</v>
      </c>
      <c r="R13" s="120">
        <f>S13+T13</f>
        <v>73</v>
      </c>
      <c r="S13" s="120">
        <v>73</v>
      </c>
      <c r="T13" s="120">
        <f>SUM(T14:T15,T19:T68,T71:T75,T79:T81,T84:T88,T95:T124,T132:T136,T140:T142,T144:T147:T150:T153,,T155:T159)</f>
        <v>0</v>
      </c>
      <c r="U13" s="120">
        <f>V13+AF13</f>
        <v>12942</v>
      </c>
      <c r="V13" s="120">
        <f>V19+V95+V124+V132+V136+V142+V144+V150+V153+V155</f>
        <v>12942</v>
      </c>
      <c r="W13" s="120">
        <f t="shared" ref="W13:AE13" si="1">SUM(W14,W15,W19,W68,W71,W75,W79,W81,W84,W88,W95,W124,W132,W136,W140,W142,W144,W147:W150,W153,,W155:W159)</f>
        <v>134</v>
      </c>
      <c r="X13" s="120">
        <f t="shared" si="1"/>
        <v>330</v>
      </c>
      <c r="Y13" s="120">
        <f t="shared" si="1"/>
        <v>0</v>
      </c>
      <c r="Z13" s="120">
        <f t="shared" si="1"/>
        <v>0</v>
      </c>
      <c r="AA13" s="120">
        <f t="shared" si="1"/>
        <v>0</v>
      </c>
      <c r="AB13" s="120">
        <f t="shared" si="1"/>
        <v>0</v>
      </c>
      <c r="AC13" s="120">
        <f t="shared" si="1"/>
        <v>6445</v>
      </c>
      <c r="AD13" s="120">
        <f t="shared" si="1"/>
        <v>0</v>
      </c>
      <c r="AE13" s="120">
        <f t="shared" si="1"/>
        <v>3120</v>
      </c>
      <c r="AF13" s="120"/>
      <c r="AG13" s="121">
        <f t="shared" ref="AG13:AI18" si="2">O13/C13*100</f>
        <v>119.50234138279315</v>
      </c>
      <c r="AH13" s="119"/>
      <c r="AI13" s="121">
        <f t="shared" si="2"/>
        <v>118.83206317142594</v>
      </c>
    </row>
    <row r="14" spans="1:35" s="115" customFormat="1" ht="15" hidden="1" x14ac:dyDescent="0.25">
      <c r="A14" s="117">
        <v>1</v>
      </c>
      <c r="B14" s="123" t="s">
        <v>311</v>
      </c>
      <c r="C14" s="123">
        <f>D14+E14</f>
        <v>0</v>
      </c>
      <c r="D14" s="123"/>
      <c r="E14" s="123">
        <f>SUM(F14:N14)</f>
        <v>0</v>
      </c>
      <c r="F14" s="124"/>
      <c r="G14" s="123"/>
      <c r="H14" s="123"/>
      <c r="I14" s="123"/>
      <c r="J14" s="123"/>
      <c r="K14" s="123"/>
      <c r="L14" s="123"/>
      <c r="M14" s="123"/>
      <c r="N14" s="123"/>
      <c r="O14" s="123">
        <f>P14+Q14</f>
        <v>0</v>
      </c>
      <c r="P14" s="123">
        <f>R14</f>
        <v>0</v>
      </c>
      <c r="Q14" s="123">
        <f>U14</f>
        <v>0</v>
      </c>
      <c r="R14" s="120"/>
      <c r="S14" s="123"/>
      <c r="T14" s="123"/>
      <c r="U14" s="123">
        <f>V14+AF14</f>
        <v>0</v>
      </c>
      <c r="V14" s="123">
        <f>SUM(W14:AE14)</f>
        <v>0</v>
      </c>
      <c r="W14" s="124"/>
      <c r="X14" s="123"/>
      <c r="Y14" s="123"/>
      <c r="Z14" s="123"/>
      <c r="AA14" s="123"/>
      <c r="AB14" s="123"/>
      <c r="AC14" s="123"/>
      <c r="AD14" s="123"/>
      <c r="AE14" s="123"/>
      <c r="AF14" s="123"/>
      <c r="AG14" s="123" t="e">
        <f t="shared" si="2"/>
        <v>#DIV/0!</v>
      </c>
      <c r="AH14" s="123" t="e">
        <f t="shared" si="2"/>
        <v>#DIV/0!</v>
      </c>
      <c r="AI14" s="123" t="e">
        <f t="shared" si="2"/>
        <v>#DIV/0!</v>
      </c>
    </row>
    <row r="15" spans="1:35" s="115" customFormat="1" ht="24" hidden="1" x14ac:dyDescent="0.25">
      <c r="A15" s="117">
        <v>2</v>
      </c>
      <c r="B15" s="123" t="s">
        <v>312</v>
      </c>
      <c r="C15" s="123">
        <f t="shared" ref="C15:C78" si="3">D15+E15</f>
        <v>0</v>
      </c>
      <c r="D15" s="123"/>
      <c r="E15" s="123">
        <f t="shared" ref="E15:AE15" si="4">SUM(E16:E18)</f>
        <v>0</v>
      </c>
      <c r="F15" s="123">
        <f t="shared" si="4"/>
        <v>0</v>
      </c>
      <c r="G15" s="123">
        <f t="shared" si="4"/>
        <v>0</v>
      </c>
      <c r="H15" s="123">
        <f t="shared" si="4"/>
        <v>0</v>
      </c>
      <c r="I15" s="123">
        <f t="shared" si="4"/>
        <v>0</v>
      </c>
      <c r="J15" s="123">
        <f t="shared" si="4"/>
        <v>0</v>
      </c>
      <c r="K15" s="123">
        <f t="shared" si="4"/>
        <v>0</v>
      </c>
      <c r="L15" s="123">
        <f t="shared" si="4"/>
        <v>0</v>
      </c>
      <c r="M15" s="123">
        <f t="shared" si="4"/>
        <v>0</v>
      </c>
      <c r="N15" s="123">
        <f t="shared" si="4"/>
        <v>0</v>
      </c>
      <c r="O15" s="123">
        <f t="shared" ref="O15:O78" si="5">P15+Q15</f>
        <v>0</v>
      </c>
      <c r="P15" s="123">
        <f t="shared" ref="P15:P78" si="6">R15</f>
        <v>0</v>
      </c>
      <c r="Q15" s="123">
        <f t="shared" ref="Q15:Q78" si="7">U15</f>
        <v>0</v>
      </c>
      <c r="R15" s="120"/>
      <c r="S15" s="123"/>
      <c r="T15" s="123"/>
      <c r="U15" s="123">
        <f t="shared" ref="U15:U78" si="8">V15+AF15</f>
        <v>0</v>
      </c>
      <c r="V15" s="123">
        <f t="shared" si="4"/>
        <v>0</v>
      </c>
      <c r="W15" s="123">
        <f t="shared" si="4"/>
        <v>0</v>
      </c>
      <c r="X15" s="123">
        <f t="shared" si="4"/>
        <v>0</v>
      </c>
      <c r="Y15" s="123">
        <f t="shared" si="4"/>
        <v>0</v>
      </c>
      <c r="Z15" s="123">
        <f t="shared" si="4"/>
        <v>0</v>
      </c>
      <c r="AA15" s="123">
        <f t="shared" si="4"/>
        <v>0</v>
      </c>
      <c r="AB15" s="123">
        <f t="shared" si="4"/>
        <v>0</v>
      </c>
      <c r="AC15" s="123">
        <f t="shared" si="4"/>
        <v>0</v>
      </c>
      <c r="AD15" s="123">
        <f t="shared" si="4"/>
        <v>0</v>
      </c>
      <c r="AE15" s="123">
        <f t="shared" si="4"/>
        <v>0</v>
      </c>
      <c r="AF15" s="123"/>
      <c r="AG15" s="123" t="e">
        <f t="shared" si="2"/>
        <v>#DIV/0!</v>
      </c>
      <c r="AH15" s="123" t="e">
        <f t="shared" si="2"/>
        <v>#DIV/0!</v>
      </c>
      <c r="AI15" s="123" t="e">
        <f t="shared" si="2"/>
        <v>#DIV/0!</v>
      </c>
    </row>
    <row r="16" spans="1:35" s="115" customFormat="1" ht="15" hidden="1" x14ac:dyDescent="0.25">
      <c r="A16" s="125" t="s">
        <v>313</v>
      </c>
      <c r="B16" s="126" t="s">
        <v>314</v>
      </c>
      <c r="C16" s="123">
        <f t="shared" si="3"/>
        <v>0</v>
      </c>
      <c r="D16" s="126"/>
      <c r="E16" s="126">
        <f>SUM(F16:N16)</f>
        <v>0</v>
      </c>
      <c r="F16" s="127"/>
      <c r="G16" s="126"/>
      <c r="H16" s="126"/>
      <c r="I16" s="126"/>
      <c r="J16" s="126"/>
      <c r="K16" s="126"/>
      <c r="L16" s="126"/>
      <c r="M16" s="126"/>
      <c r="N16" s="126"/>
      <c r="O16" s="123">
        <f t="shared" si="5"/>
        <v>0</v>
      </c>
      <c r="P16" s="123">
        <f t="shared" si="6"/>
        <v>0</v>
      </c>
      <c r="Q16" s="123">
        <f t="shared" si="7"/>
        <v>0</v>
      </c>
      <c r="R16" s="120"/>
      <c r="S16" s="126"/>
      <c r="T16" s="126"/>
      <c r="U16" s="123">
        <f t="shared" si="8"/>
        <v>0</v>
      </c>
      <c r="V16" s="126">
        <f>SUM(W16:AE16)</f>
        <v>0</v>
      </c>
      <c r="W16" s="127"/>
      <c r="X16" s="126"/>
      <c r="Y16" s="126"/>
      <c r="Z16" s="126"/>
      <c r="AA16" s="126"/>
      <c r="AB16" s="126"/>
      <c r="AC16" s="126"/>
      <c r="AD16" s="126"/>
      <c r="AE16" s="126"/>
      <c r="AF16" s="126"/>
      <c r="AG16" s="123" t="e">
        <f t="shared" si="2"/>
        <v>#DIV/0!</v>
      </c>
      <c r="AH16" s="123" t="e">
        <f t="shared" si="2"/>
        <v>#DIV/0!</v>
      </c>
      <c r="AI16" s="123" t="e">
        <f t="shared" si="2"/>
        <v>#DIV/0!</v>
      </c>
    </row>
    <row r="17" spans="1:35" s="115" customFormat="1" ht="15" hidden="1" x14ac:dyDescent="0.25">
      <c r="A17" s="125" t="s">
        <v>315</v>
      </c>
      <c r="B17" s="126" t="s">
        <v>316</v>
      </c>
      <c r="C17" s="123">
        <f t="shared" si="3"/>
        <v>0</v>
      </c>
      <c r="D17" s="126"/>
      <c r="E17" s="126">
        <f>SUM(F17:N17)</f>
        <v>0</v>
      </c>
      <c r="F17" s="127"/>
      <c r="G17" s="126"/>
      <c r="H17" s="126"/>
      <c r="I17" s="126"/>
      <c r="J17" s="126"/>
      <c r="K17" s="126"/>
      <c r="L17" s="126"/>
      <c r="M17" s="126"/>
      <c r="N17" s="126"/>
      <c r="O17" s="123">
        <f t="shared" si="5"/>
        <v>0</v>
      </c>
      <c r="P17" s="123">
        <f t="shared" si="6"/>
        <v>0</v>
      </c>
      <c r="Q17" s="123">
        <f t="shared" si="7"/>
        <v>0</v>
      </c>
      <c r="R17" s="120"/>
      <c r="S17" s="126"/>
      <c r="T17" s="126"/>
      <c r="U17" s="123">
        <f t="shared" si="8"/>
        <v>0</v>
      </c>
      <c r="V17" s="126">
        <f>SUM(W17:AE17)</f>
        <v>0</v>
      </c>
      <c r="W17" s="127"/>
      <c r="X17" s="126"/>
      <c r="Y17" s="126"/>
      <c r="Z17" s="126"/>
      <c r="AA17" s="126"/>
      <c r="AB17" s="126"/>
      <c r="AC17" s="126"/>
      <c r="AD17" s="126"/>
      <c r="AE17" s="126"/>
      <c r="AF17" s="126"/>
      <c r="AG17" s="123" t="e">
        <f t="shared" si="2"/>
        <v>#DIV/0!</v>
      </c>
      <c r="AH17" s="123" t="e">
        <f t="shared" si="2"/>
        <v>#DIV/0!</v>
      </c>
      <c r="AI17" s="123" t="e">
        <f t="shared" si="2"/>
        <v>#DIV/0!</v>
      </c>
    </row>
    <row r="18" spans="1:35" s="115" customFormat="1" ht="15" hidden="1" x14ac:dyDescent="0.25">
      <c r="A18" s="125" t="s">
        <v>317</v>
      </c>
      <c r="B18" s="126" t="s">
        <v>318</v>
      </c>
      <c r="C18" s="123">
        <f t="shared" si="3"/>
        <v>0</v>
      </c>
      <c r="D18" s="126"/>
      <c r="E18" s="126">
        <f>SUM(F18:N18)</f>
        <v>0</v>
      </c>
      <c r="F18" s="127"/>
      <c r="G18" s="126"/>
      <c r="H18" s="126"/>
      <c r="I18" s="126"/>
      <c r="J18" s="126"/>
      <c r="K18" s="126"/>
      <c r="L18" s="126"/>
      <c r="M18" s="126"/>
      <c r="N18" s="126"/>
      <c r="O18" s="123">
        <f t="shared" si="5"/>
        <v>0</v>
      </c>
      <c r="P18" s="123">
        <f t="shared" si="6"/>
        <v>0</v>
      </c>
      <c r="Q18" s="123">
        <f t="shared" si="7"/>
        <v>0</v>
      </c>
      <c r="R18" s="120"/>
      <c r="S18" s="126"/>
      <c r="T18" s="126"/>
      <c r="U18" s="123">
        <f t="shared" si="8"/>
        <v>0</v>
      </c>
      <c r="V18" s="126">
        <f>SUM(W18:AE18)</f>
        <v>0</v>
      </c>
      <c r="W18" s="127"/>
      <c r="X18" s="126"/>
      <c r="Y18" s="126"/>
      <c r="Z18" s="126"/>
      <c r="AA18" s="126"/>
      <c r="AB18" s="126"/>
      <c r="AC18" s="126"/>
      <c r="AD18" s="126"/>
      <c r="AE18" s="126"/>
      <c r="AF18" s="126"/>
      <c r="AG18" s="123" t="e">
        <f t="shared" si="2"/>
        <v>#DIV/0!</v>
      </c>
      <c r="AH18" s="123" t="e">
        <f t="shared" si="2"/>
        <v>#DIV/0!</v>
      </c>
      <c r="AI18" s="123" t="e">
        <f t="shared" si="2"/>
        <v>#DIV/0!</v>
      </c>
    </row>
    <row r="19" spans="1:35" s="115" customFormat="1" ht="12" x14ac:dyDescent="0.25">
      <c r="A19" s="117">
        <v>1</v>
      </c>
      <c r="B19" s="123" t="s">
        <v>319</v>
      </c>
      <c r="C19" s="123">
        <f t="shared" si="3"/>
        <v>7717</v>
      </c>
      <c r="D19" s="123"/>
      <c r="E19" s="123">
        <v>7717</v>
      </c>
      <c r="F19" s="123">
        <f t="shared" ref="F19:AE19" si="9">SUM(F20:F67)</f>
        <v>0</v>
      </c>
      <c r="G19" s="123">
        <f t="shared" si="9"/>
        <v>0</v>
      </c>
      <c r="H19" s="123">
        <f t="shared" si="9"/>
        <v>0</v>
      </c>
      <c r="I19" s="123">
        <f t="shared" si="9"/>
        <v>0</v>
      </c>
      <c r="J19" s="123">
        <f t="shared" si="9"/>
        <v>0</v>
      </c>
      <c r="K19" s="123">
        <f t="shared" si="9"/>
        <v>0</v>
      </c>
      <c r="L19" s="123">
        <f t="shared" si="9"/>
        <v>4568</v>
      </c>
      <c r="M19" s="123">
        <f t="shared" si="9"/>
        <v>0</v>
      </c>
      <c r="N19" s="123">
        <f t="shared" si="9"/>
        <v>1784</v>
      </c>
      <c r="O19" s="123">
        <f t="shared" si="5"/>
        <v>7213</v>
      </c>
      <c r="P19" s="123">
        <f t="shared" si="6"/>
        <v>0</v>
      </c>
      <c r="Q19" s="123">
        <f t="shared" si="7"/>
        <v>7213</v>
      </c>
      <c r="R19" s="120"/>
      <c r="S19" s="123"/>
      <c r="T19" s="123"/>
      <c r="U19" s="123">
        <f t="shared" si="8"/>
        <v>7213</v>
      </c>
      <c r="V19" s="123">
        <f t="shared" si="9"/>
        <v>7213</v>
      </c>
      <c r="W19" s="123">
        <f t="shared" si="9"/>
        <v>0</v>
      </c>
      <c r="X19" s="123">
        <f t="shared" si="9"/>
        <v>0</v>
      </c>
      <c r="Y19" s="123">
        <f t="shared" si="9"/>
        <v>0</v>
      </c>
      <c r="Z19" s="123">
        <f t="shared" si="9"/>
        <v>0</v>
      </c>
      <c r="AA19" s="123">
        <f t="shared" si="9"/>
        <v>0</v>
      </c>
      <c r="AB19" s="123">
        <f t="shared" si="9"/>
        <v>0</v>
      </c>
      <c r="AC19" s="123">
        <f t="shared" si="9"/>
        <v>5300</v>
      </c>
      <c r="AD19" s="123">
        <f t="shared" si="9"/>
        <v>0</v>
      </c>
      <c r="AE19" s="123">
        <f t="shared" si="9"/>
        <v>1632</v>
      </c>
      <c r="AF19" s="123"/>
      <c r="AG19" s="123"/>
      <c r="AH19" s="123"/>
      <c r="AI19" s="123"/>
    </row>
    <row r="20" spans="1:35" s="115" customFormat="1" ht="15" hidden="1" x14ac:dyDescent="0.25">
      <c r="A20" s="125" t="s">
        <v>320</v>
      </c>
      <c r="B20" s="126" t="s">
        <v>321</v>
      </c>
      <c r="C20" s="123">
        <f t="shared" si="3"/>
        <v>90</v>
      </c>
      <c r="D20" s="126"/>
      <c r="E20" s="126">
        <f t="shared" ref="E20:E67" si="10">SUM(F20:N20)</f>
        <v>90</v>
      </c>
      <c r="F20" s="127"/>
      <c r="G20" s="126"/>
      <c r="H20" s="126"/>
      <c r="I20" s="126"/>
      <c r="J20" s="126"/>
      <c r="K20" s="126"/>
      <c r="L20" s="126">
        <v>90</v>
      </c>
      <c r="M20" s="126"/>
      <c r="N20" s="126"/>
      <c r="O20" s="123">
        <f t="shared" si="5"/>
        <v>159</v>
      </c>
      <c r="P20" s="123">
        <f t="shared" si="6"/>
        <v>0</v>
      </c>
      <c r="Q20" s="123">
        <f t="shared" si="7"/>
        <v>159</v>
      </c>
      <c r="R20" s="120"/>
      <c r="S20" s="126"/>
      <c r="T20" s="126"/>
      <c r="U20" s="123">
        <f t="shared" si="8"/>
        <v>159</v>
      </c>
      <c r="V20" s="126">
        <v>159</v>
      </c>
      <c r="W20" s="127"/>
      <c r="X20" s="126"/>
      <c r="Y20" s="126"/>
      <c r="Z20" s="126"/>
      <c r="AA20" s="126"/>
      <c r="AB20" s="126"/>
      <c r="AC20" s="126">
        <v>80</v>
      </c>
      <c r="AD20" s="126"/>
      <c r="AE20" s="126"/>
      <c r="AF20" s="126"/>
      <c r="AG20" s="123"/>
      <c r="AH20" s="123"/>
      <c r="AI20" s="123"/>
    </row>
    <row r="21" spans="1:35" s="115" customFormat="1" ht="15" hidden="1" x14ac:dyDescent="0.25">
      <c r="A21" s="125" t="s">
        <v>322</v>
      </c>
      <c r="B21" s="126" t="s">
        <v>323</v>
      </c>
      <c r="C21" s="123">
        <f t="shared" si="3"/>
        <v>0</v>
      </c>
      <c r="D21" s="126"/>
      <c r="E21" s="126">
        <f t="shared" si="10"/>
        <v>0</v>
      </c>
      <c r="F21" s="127"/>
      <c r="G21" s="126"/>
      <c r="H21" s="126"/>
      <c r="I21" s="126"/>
      <c r="J21" s="126"/>
      <c r="K21" s="126"/>
      <c r="L21" s="126"/>
      <c r="M21" s="126"/>
      <c r="N21" s="126"/>
      <c r="O21" s="123">
        <f t="shared" si="5"/>
        <v>0</v>
      </c>
      <c r="P21" s="123">
        <f t="shared" si="6"/>
        <v>0</v>
      </c>
      <c r="Q21" s="123">
        <f t="shared" si="7"/>
        <v>0</v>
      </c>
      <c r="R21" s="120"/>
      <c r="S21" s="126"/>
      <c r="T21" s="126"/>
      <c r="U21" s="123">
        <f t="shared" si="8"/>
        <v>0</v>
      </c>
      <c r="V21" s="126">
        <f t="shared" ref="V21:V67" si="11">SUM(W21:AE21)</f>
        <v>0</v>
      </c>
      <c r="W21" s="127"/>
      <c r="X21" s="126"/>
      <c r="Y21" s="126"/>
      <c r="Z21" s="126"/>
      <c r="AA21" s="126"/>
      <c r="AB21" s="126"/>
      <c r="AC21" s="126"/>
      <c r="AD21" s="126"/>
      <c r="AE21" s="126"/>
      <c r="AF21" s="126"/>
      <c r="AG21" s="123"/>
      <c r="AH21" s="123"/>
      <c r="AI21" s="123"/>
    </row>
    <row r="22" spans="1:35" s="115" customFormat="1" ht="15" hidden="1" x14ac:dyDescent="0.25">
      <c r="A22" s="125" t="s">
        <v>324</v>
      </c>
      <c r="B22" s="126" t="s">
        <v>325</v>
      </c>
      <c r="C22" s="123">
        <f t="shared" si="3"/>
        <v>1000</v>
      </c>
      <c r="D22" s="126"/>
      <c r="E22" s="126">
        <f t="shared" si="10"/>
        <v>1000</v>
      </c>
      <c r="F22" s="127"/>
      <c r="G22" s="126"/>
      <c r="H22" s="126"/>
      <c r="I22" s="126"/>
      <c r="J22" s="126"/>
      <c r="K22" s="126"/>
      <c r="L22" s="126">
        <v>1000</v>
      </c>
      <c r="M22" s="126"/>
      <c r="N22" s="126"/>
      <c r="O22" s="123">
        <f t="shared" si="5"/>
        <v>500</v>
      </c>
      <c r="P22" s="123">
        <f t="shared" si="6"/>
        <v>0</v>
      </c>
      <c r="Q22" s="123">
        <f t="shared" si="7"/>
        <v>500</v>
      </c>
      <c r="R22" s="120"/>
      <c r="S22" s="126"/>
      <c r="T22" s="126"/>
      <c r="U22" s="123">
        <f t="shared" si="8"/>
        <v>500</v>
      </c>
      <c r="V22" s="126">
        <v>500</v>
      </c>
      <c r="W22" s="127"/>
      <c r="X22" s="126"/>
      <c r="Y22" s="126"/>
      <c r="Z22" s="126"/>
      <c r="AA22" s="126"/>
      <c r="AB22" s="126"/>
      <c r="AC22" s="126">
        <v>1000</v>
      </c>
      <c r="AD22" s="126"/>
      <c r="AE22" s="126"/>
      <c r="AF22" s="126"/>
      <c r="AG22" s="123"/>
      <c r="AH22" s="123"/>
      <c r="AI22" s="123"/>
    </row>
    <row r="23" spans="1:35" s="115" customFormat="1" ht="15" hidden="1" x14ac:dyDescent="0.25">
      <c r="A23" s="125" t="s">
        <v>326</v>
      </c>
      <c r="B23" s="126" t="s">
        <v>327</v>
      </c>
      <c r="C23" s="123">
        <f t="shared" si="3"/>
        <v>2000</v>
      </c>
      <c r="D23" s="126"/>
      <c r="E23" s="126">
        <f t="shared" si="10"/>
        <v>2000</v>
      </c>
      <c r="F23" s="127"/>
      <c r="G23" s="126"/>
      <c r="H23" s="126"/>
      <c r="I23" s="126"/>
      <c r="J23" s="126"/>
      <c r="K23" s="126"/>
      <c r="L23" s="126">
        <v>2000</v>
      </c>
      <c r="M23" s="126"/>
      <c r="N23" s="126"/>
      <c r="O23" s="123">
        <f t="shared" si="5"/>
        <v>2124</v>
      </c>
      <c r="P23" s="123">
        <f t="shared" si="6"/>
        <v>0</v>
      </c>
      <c r="Q23" s="123">
        <f t="shared" si="7"/>
        <v>2124</v>
      </c>
      <c r="R23" s="120"/>
      <c r="S23" s="126"/>
      <c r="T23" s="126"/>
      <c r="U23" s="123">
        <f t="shared" si="8"/>
        <v>2124</v>
      </c>
      <c r="V23" s="126">
        <v>2124</v>
      </c>
      <c r="W23" s="127"/>
      <c r="X23" s="126"/>
      <c r="Y23" s="126"/>
      <c r="Z23" s="126"/>
      <c r="AA23" s="126"/>
      <c r="AB23" s="126"/>
      <c r="AC23" s="126">
        <v>2478</v>
      </c>
      <c r="AD23" s="126"/>
      <c r="AE23" s="126"/>
      <c r="AF23" s="126"/>
      <c r="AG23" s="123"/>
      <c r="AH23" s="123"/>
      <c r="AI23" s="123"/>
    </row>
    <row r="24" spans="1:35" s="115" customFormat="1" ht="15" hidden="1" x14ac:dyDescent="0.25">
      <c r="A24" s="125" t="s">
        <v>328</v>
      </c>
      <c r="B24" s="126" t="s">
        <v>329</v>
      </c>
      <c r="C24" s="123">
        <f t="shared" si="3"/>
        <v>0</v>
      </c>
      <c r="D24" s="126"/>
      <c r="E24" s="126">
        <f t="shared" si="10"/>
        <v>0</v>
      </c>
      <c r="F24" s="127"/>
      <c r="G24" s="126"/>
      <c r="H24" s="126"/>
      <c r="I24" s="126"/>
      <c r="J24" s="126"/>
      <c r="K24" s="126"/>
      <c r="L24" s="126"/>
      <c r="M24" s="126"/>
      <c r="N24" s="126"/>
      <c r="O24" s="123">
        <f t="shared" si="5"/>
        <v>0</v>
      </c>
      <c r="P24" s="123">
        <f t="shared" si="6"/>
        <v>0</v>
      </c>
      <c r="Q24" s="123">
        <f t="shared" si="7"/>
        <v>0</v>
      </c>
      <c r="R24" s="120"/>
      <c r="S24" s="126"/>
      <c r="T24" s="126"/>
      <c r="U24" s="123">
        <f t="shared" si="8"/>
        <v>0</v>
      </c>
      <c r="V24" s="126">
        <f t="shared" si="11"/>
        <v>0</v>
      </c>
      <c r="W24" s="127"/>
      <c r="X24" s="126"/>
      <c r="Y24" s="126"/>
      <c r="Z24" s="126"/>
      <c r="AA24" s="126"/>
      <c r="AB24" s="126"/>
      <c r="AC24" s="126"/>
      <c r="AD24" s="126"/>
      <c r="AE24" s="126"/>
      <c r="AF24" s="126"/>
      <c r="AG24" s="123"/>
      <c r="AH24" s="123"/>
      <c r="AI24" s="123"/>
    </row>
    <row r="25" spans="1:35" s="115" customFormat="1" ht="15" hidden="1" x14ac:dyDescent="0.25">
      <c r="A25" s="125" t="s">
        <v>330</v>
      </c>
      <c r="B25" s="126" t="s">
        <v>331</v>
      </c>
      <c r="C25" s="123">
        <f t="shared" si="3"/>
        <v>1894</v>
      </c>
      <c r="D25" s="126"/>
      <c r="E25" s="126">
        <f t="shared" si="10"/>
        <v>1894</v>
      </c>
      <c r="F25" s="127"/>
      <c r="G25" s="126"/>
      <c r="H25" s="126"/>
      <c r="I25" s="126"/>
      <c r="J25" s="126"/>
      <c r="K25" s="126"/>
      <c r="L25" s="126">
        <v>110</v>
      </c>
      <c r="M25" s="126"/>
      <c r="N25" s="126">
        <v>1784</v>
      </c>
      <c r="O25" s="123">
        <f t="shared" si="5"/>
        <v>2365</v>
      </c>
      <c r="P25" s="123">
        <f t="shared" si="6"/>
        <v>0</v>
      </c>
      <c r="Q25" s="123">
        <f t="shared" si="7"/>
        <v>2365</v>
      </c>
      <c r="R25" s="120"/>
      <c r="S25" s="126"/>
      <c r="T25" s="126"/>
      <c r="U25" s="123">
        <f t="shared" si="8"/>
        <v>2365</v>
      </c>
      <c r="V25" s="126">
        <v>2365</v>
      </c>
      <c r="W25" s="127"/>
      <c r="X25" s="126"/>
      <c r="Y25" s="126"/>
      <c r="Z25" s="126"/>
      <c r="AA25" s="126"/>
      <c r="AB25" s="126"/>
      <c r="AC25" s="126">
        <v>79</v>
      </c>
      <c r="AD25" s="126"/>
      <c r="AE25" s="126">
        <v>1632</v>
      </c>
      <c r="AF25" s="126"/>
      <c r="AG25" s="123"/>
      <c r="AH25" s="123"/>
      <c r="AI25" s="123"/>
    </row>
    <row r="26" spans="1:35" s="115" customFormat="1" ht="24" hidden="1" x14ac:dyDescent="0.25">
      <c r="A26" s="125" t="s">
        <v>332</v>
      </c>
      <c r="B26" s="126" t="s">
        <v>333</v>
      </c>
      <c r="C26" s="123">
        <f t="shared" si="3"/>
        <v>891</v>
      </c>
      <c r="D26" s="126"/>
      <c r="E26" s="126">
        <f t="shared" si="10"/>
        <v>891</v>
      </c>
      <c r="F26" s="127"/>
      <c r="G26" s="126"/>
      <c r="H26" s="126"/>
      <c r="I26" s="126"/>
      <c r="J26" s="126"/>
      <c r="K26" s="126"/>
      <c r="L26" s="126">
        <v>891</v>
      </c>
      <c r="M26" s="126"/>
      <c r="N26" s="126"/>
      <c r="O26" s="123">
        <f t="shared" si="5"/>
        <v>1714</v>
      </c>
      <c r="P26" s="123">
        <f t="shared" si="6"/>
        <v>0</v>
      </c>
      <c r="Q26" s="123">
        <f t="shared" si="7"/>
        <v>1714</v>
      </c>
      <c r="R26" s="120"/>
      <c r="S26" s="126"/>
      <c r="T26" s="126"/>
      <c r="U26" s="123">
        <f t="shared" si="8"/>
        <v>1714</v>
      </c>
      <c r="V26" s="126">
        <v>1714</v>
      </c>
      <c r="W26" s="127"/>
      <c r="X26" s="126"/>
      <c r="Y26" s="126"/>
      <c r="Z26" s="126"/>
      <c r="AA26" s="126"/>
      <c r="AB26" s="126"/>
      <c r="AC26" s="126">
        <v>1261</v>
      </c>
      <c r="AD26" s="126"/>
      <c r="AE26" s="126"/>
      <c r="AF26" s="126"/>
      <c r="AG26" s="123"/>
      <c r="AH26" s="123"/>
      <c r="AI26" s="123"/>
    </row>
    <row r="27" spans="1:35" s="115" customFormat="1" ht="24" hidden="1" x14ac:dyDescent="0.25">
      <c r="A27" s="125" t="s">
        <v>334</v>
      </c>
      <c r="B27" s="126" t="s">
        <v>335</v>
      </c>
      <c r="C27" s="123">
        <f t="shared" si="3"/>
        <v>200</v>
      </c>
      <c r="D27" s="126"/>
      <c r="E27" s="126">
        <f t="shared" si="10"/>
        <v>200</v>
      </c>
      <c r="F27" s="127"/>
      <c r="G27" s="126"/>
      <c r="H27" s="126"/>
      <c r="I27" s="126"/>
      <c r="J27" s="126"/>
      <c r="K27" s="126"/>
      <c r="L27" s="126">
        <v>200</v>
      </c>
      <c r="M27" s="126"/>
      <c r="N27" s="126"/>
      <c r="O27" s="123">
        <f t="shared" si="5"/>
        <v>44</v>
      </c>
      <c r="P27" s="123">
        <f t="shared" si="6"/>
        <v>0</v>
      </c>
      <c r="Q27" s="123">
        <f t="shared" si="7"/>
        <v>44</v>
      </c>
      <c r="R27" s="120"/>
      <c r="S27" s="126"/>
      <c r="T27" s="126"/>
      <c r="U27" s="123">
        <f t="shared" si="8"/>
        <v>44</v>
      </c>
      <c r="V27" s="126">
        <v>44</v>
      </c>
      <c r="W27" s="127"/>
      <c r="X27" s="126"/>
      <c r="Y27" s="126"/>
      <c r="Z27" s="126"/>
      <c r="AA27" s="126"/>
      <c r="AB27" s="126"/>
      <c r="AC27" s="126">
        <v>125</v>
      </c>
      <c r="AD27" s="126"/>
      <c r="AE27" s="126"/>
      <c r="AF27" s="126"/>
      <c r="AG27" s="123"/>
      <c r="AH27" s="123"/>
      <c r="AI27" s="123"/>
    </row>
    <row r="28" spans="1:35" s="115" customFormat="1" ht="15" hidden="1" x14ac:dyDescent="0.25">
      <c r="A28" s="125" t="s">
        <v>336</v>
      </c>
      <c r="B28" s="126" t="s">
        <v>337</v>
      </c>
      <c r="C28" s="123">
        <f t="shared" si="3"/>
        <v>0</v>
      </c>
      <c r="D28" s="126"/>
      <c r="E28" s="126">
        <f t="shared" si="10"/>
        <v>0</v>
      </c>
      <c r="F28" s="127"/>
      <c r="G28" s="126"/>
      <c r="H28" s="126"/>
      <c r="I28" s="126"/>
      <c r="J28" s="126"/>
      <c r="K28" s="126"/>
      <c r="L28" s="126"/>
      <c r="M28" s="126"/>
      <c r="N28" s="126"/>
      <c r="O28" s="123">
        <f t="shared" si="5"/>
        <v>0</v>
      </c>
      <c r="P28" s="123">
        <f t="shared" si="6"/>
        <v>0</v>
      </c>
      <c r="Q28" s="123">
        <f t="shared" si="7"/>
        <v>0</v>
      </c>
      <c r="R28" s="120"/>
      <c r="S28" s="126"/>
      <c r="T28" s="126"/>
      <c r="U28" s="123">
        <f t="shared" si="8"/>
        <v>0</v>
      </c>
      <c r="V28" s="126">
        <f t="shared" si="11"/>
        <v>0</v>
      </c>
      <c r="W28" s="127"/>
      <c r="X28" s="126"/>
      <c r="Y28" s="126"/>
      <c r="Z28" s="126"/>
      <c r="AA28" s="126"/>
      <c r="AB28" s="126"/>
      <c r="AC28" s="126"/>
      <c r="AD28" s="126"/>
      <c r="AE28" s="126"/>
      <c r="AF28" s="126"/>
      <c r="AG28" s="123"/>
      <c r="AH28" s="123"/>
      <c r="AI28" s="123"/>
    </row>
    <row r="29" spans="1:35" s="115" customFormat="1" ht="24" hidden="1" x14ac:dyDescent="0.25">
      <c r="A29" s="125" t="s">
        <v>338</v>
      </c>
      <c r="B29" s="126" t="s">
        <v>339</v>
      </c>
      <c r="C29" s="123">
        <f t="shared" si="3"/>
        <v>0</v>
      </c>
      <c r="D29" s="126"/>
      <c r="E29" s="126">
        <f t="shared" si="10"/>
        <v>0</v>
      </c>
      <c r="F29" s="127"/>
      <c r="G29" s="126"/>
      <c r="H29" s="126"/>
      <c r="I29" s="126"/>
      <c r="J29" s="126"/>
      <c r="K29" s="126"/>
      <c r="L29" s="126"/>
      <c r="M29" s="126"/>
      <c r="N29" s="126"/>
      <c r="O29" s="123">
        <f t="shared" si="5"/>
        <v>0</v>
      </c>
      <c r="P29" s="123">
        <f t="shared" si="6"/>
        <v>0</v>
      </c>
      <c r="Q29" s="123">
        <f t="shared" si="7"/>
        <v>0</v>
      </c>
      <c r="R29" s="120"/>
      <c r="S29" s="126"/>
      <c r="T29" s="126"/>
      <c r="U29" s="123">
        <f t="shared" si="8"/>
        <v>0</v>
      </c>
      <c r="V29" s="126">
        <f t="shared" si="11"/>
        <v>0</v>
      </c>
      <c r="W29" s="127"/>
      <c r="X29" s="126"/>
      <c r="Y29" s="126"/>
      <c r="Z29" s="126"/>
      <c r="AA29" s="126"/>
      <c r="AB29" s="126"/>
      <c r="AC29" s="126"/>
      <c r="AD29" s="126"/>
      <c r="AE29" s="126"/>
      <c r="AF29" s="126"/>
      <c r="AG29" s="123"/>
      <c r="AH29" s="123"/>
      <c r="AI29" s="123"/>
    </row>
    <row r="30" spans="1:35" s="115" customFormat="1" ht="15" hidden="1" x14ac:dyDescent="0.25">
      <c r="A30" s="125" t="s">
        <v>340</v>
      </c>
      <c r="B30" s="126" t="s">
        <v>341</v>
      </c>
      <c r="C30" s="123">
        <f t="shared" si="3"/>
        <v>1209</v>
      </c>
      <c r="D30" s="126">
        <v>932</v>
      </c>
      <c r="E30" s="126">
        <f t="shared" si="10"/>
        <v>277</v>
      </c>
      <c r="F30" s="127"/>
      <c r="G30" s="126"/>
      <c r="H30" s="126"/>
      <c r="I30" s="126"/>
      <c r="J30" s="126"/>
      <c r="K30" s="126"/>
      <c r="L30" s="126">
        <v>277</v>
      </c>
      <c r="M30" s="126"/>
      <c r="N30" s="126"/>
      <c r="O30" s="123">
        <f t="shared" si="5"/>
        <v>1176</v>
      </c>
      <c r="P30" s="123">
        <f>R30</f>
        <v>932</v>
      </c>
      <c r="Q30" s="123">
        <f t="shared" si="7"/>
        <v>244</v>
      </c>
      <c r="R30" s="123">
        <f>S30+T30</f>
        <v>932</v>
      </c>
      <c r="S30" s="126">
        <v>932</v>
      </c>
      <c r="T30" s="126"/>
      <c r="U30" s="123">
        <f t="shared" si="8"/>
        <v>244</v>
      </c>
      <c r="V30" s="126">
        <v>244</v>
      </c>
      <c r="W30" s="127"/>
      <c r="X30" s="126"/>
      <c r="Y30" s="126"/>
      <c r="Z30" s="126"/>
      <c r="AA30" s="126"/>
      <c r="AB30" s="126"/>
      <c r="AC30" s="126">
        <v>277</v>
      </c>
      <c r="AD30" s="126"/>
      <c r="AE30" s="126"/>
      <c r="AF30" s="126"/>
      <c r="AG30" s="123"/>
      <c r="AH30" s="123"/>
      <c r="AI30" s="123"/>
    </row>
    <row r="31" spans="1:35" s="115" customFormat="1" ht="24" hidden="1" x14ac:dyDescent="0.25">
      <c r="A31" s="125" t="s">
        <v>342</v>
      </c>
      <c r="B31" s="126" t="s">
        <v>343</v>
      </c>
      <c r="C31" s="123">
        <f t="shared" si="3"/>
        <v>0</v>
      </c>
      <c r="D31" s="126"/>
      <c r="E31" s="126">
        <f t="shared" si="10"/>
        <v>0</v>
      </c>
      <c r="F31" s="127"/>
      <c r="G31" s="126"/>
      <c r="H31" s="126"/>
      <c r="I31" s="126"/>
      <c r="J31" s="126"/>
      <c r="K31" s="126"/>
      <c r="L31" s="126"/>
      <c r="M31" s="126"/>
      <c r="N31" s="126"/>
      <c r="O31" s="123">
        <f t="shared" si="5"/>
        <v>0</v>
      </c>
      <c r="P31" s="123">
        <f t="shared" si="6"/>
        <v>0</v>
      </c>
      <c r="Q31" s="123">
        <f t="shared" si="7"/>
        <v>0</v>
      </c>
      <c r="R31" s="126"/>
      <c r="S31" s="126"/>
      <c r="T31" s="126"/>
      <c r="U31" s="123">
        <f t="shared" si="8"/>
        <v>0</v>
      </c>
      <c r="V31" s="126">
        <f t="shared" si="11"/>
        <v>0</v>
      </c>
      <c r="W31" s="127"/>
      <c r="X31" s="126"/>
      <c r="Y31" s="126"/>
      <c r="Z31" s="126"/>
      <c r="AA31" s="126"/>
      <c r="AB31" s="126"/>
      <c r="AC31" s="126"/>
      <c r="AD31" s="126"/>
      <c r="AE31" s="126"/>
      <c r="AF31" s="126"/>
      <c r="AG31" s="123"/>
      <c r="AH31" s="123"/>
      <c r="AI31" s="123"/>
    </row>
    <row r="32" spans="1:35" s="115" customFormat="1" ht="24" hidden="1" x14ac:dyDescent="0.25">
      <c r="A32" s="125" t="s">
        <v>344</v>
      </c>
      <c r="B32" s="126" t="s">
        <v>345</v>
      </c>
      <c r="C32" s="123">
        <f t="shared" si="3"/>
        <v>0</v>
      </c>
      <c r="D32" s="126"/>
      <c r="E32" s="126">
        <f t="shared" si="10"/>
        <v>0</v>
      </c>
      <c r="F32" s="127"/>
      <c r="G32" s="126"/>
      <c r="H32" s="126"/>
      <c r="I32" s="126"/>
      <c r="J32" s="126"/>
      <c r="K32" s="126"/>
      <c r="L32" s="126"/>
      <c r="M32" s="126"/>
      <c r="N32" s="126"/>
      <c r="O32" s="123">
        <f t="shared" si="5"/>
        <v>0</v>
      </c>
      <c r="P32" s="123">
        <f t="shared" si="6"/>
        <v>0</v>
      </c>
      <c r="Q32" s="123">
        <f t="shared" si="7"/>
        <v>0</v>
      </c>
      <c r="R32" s="126"/>
      <c r="S32" s="126"/>
      <c r="T32" s="126"/>
      <c r="U32" s="123">
        <f t="shared" si="8"/>
        <v>0</v>
      </c>
      <c r="V32" s="126">
        <f t="shared" si="11"/>
        <v>0</v>
      </c>
      <c r="W32" s="127"/>
      <c r="X32" s="126"/>
      <c r="Y32" s="126"/>
      <c r="Z32" s="126"/>
      <c r="AA32" s="126"/>
      <c r="AB32" s="126"/>
      <c r="AC32" s="126"/>
      <c r="AD32" s="126"/>
      <c r="AE32" s="126"/>
      <c r="AF32" s="126"/>
      <c r="AG32" s="123"/>
      <c r="AH32" s="123"/>
      <c r="AI32" s="123"/>
    </row>
    <row r="33" spans="1:35" s="115" customFormat="1" ht="24" hidden="1" x14ac:dyDescent="0.25">
      <c r="A33" s="125" t="s">
        <v>346</v>
      </c>
      <c r="B33" s="126" t="s">
        <v>347</v>
      </c>
      <c r="C33" s="123">
        <f t="shared" si="3"/>
        <v>0</v>
      </c>
      <c r="D33" s="126"/>
      <c r="E33" s="126">
        <f t="shared" si="10"/>
        <v>0</v>
      </c>
      <c r="F33" s="127"/>
      <c r="G33" s="126"/>
      <c r="H33" s="126"/>
      <c r="I33" s="126"/>
      <c r="J33" s="126"/>
      <c r="K33" s="126"/>
      <c r="L33" s="126"/>
      <c r="M33" s="126"/>
      <c r="N33" s="126"/>
      <c r="O33" s="123">
        <f t="shared" si="5"/>
        <v>0</v>
      </c>
      <c r="P33" s="123">
        <f t="shared" si="6"/>
        <v>0</v>
      </c>
      <c r="Q33" s="123">
        <f t="shared" si="7"/>
        <v>0</v>
      </c>
      <c r="R33" s="126"/>
      <c r="S33" s="126"/>
      <c r="T33" s="126"/>
      <c r="U33" s="123">
        <f t="shared" si="8"/>
        <v>0</v>
      </c>
      <c r="V33" s="126">
        <f t="shared" si="11"/>
        <v>0</v>
      </c>
      <c r="W33" s="127"/>
      <c r="X33" s="126"/>
      <c r="Y33" s="126"/>
      <c r="Z33" s="126"/>
      <c r="AA33" s="126"/>
      <c r="AB33" s="126"/>
      <c r="AC33" s="126"/>
      <c r="AD33" s="126"/>
      <c r="AE33" s="126"/>
      <c r="AF33" s="126"/>
      <c r="AG33" s="123"/>
      <c r="AH33" s="123"/>
      <c r="AI33" s="123"/>
    </row>
    <row r="34" spans="1:35" s="115" customFormat="1" ht="24" hidden="1" x14ac:dyDescent="0.25">
      <c r="A34" s="125" t="s">
        <v>348</v>
      </c>
      <c r="B34" s="126" t="s">
        <v>349</v>
      </c>
      <c r="C34" s="123">
        <f t="shared" si="3"/>
        <v>0</v>
      </c>
      <c r="D34" s="126"/>
      <c r="E34" s="126">
        <f t="shared" si="10"/>
        <v>0</v>
      </c>
      <c r="F34" s="127"/>
      <c r="G34" s="126"/>
      <c r="H34" s="126"/>
      <c r="I34" s="126"/>
      <c r="J34" s="126"/>
      <c r="K34" s="126"/>
      <c r="L34" s="126"/>
      <c r="M34" s="126"/>
      <c r="N34" s="126"/>
      <c r="O34" s="123">
        <f t="shared" si="5"/>
        <v>0</v>
      </c>
      <c r="P34" s="123">
        <f t="shared" si="6"/>
        <v>0</v>
      </c>
      <c r="Q34" s="123">
        <f t="shared" si="7"/>
        <v>0</v>
      </c>
      <c r="R34" s="126"/>
      <c r="S34" s="126"/>
      <c r="T34" s="126"/>
      <c r="U34" s="123">
        <f t="shared" si="8"/>
        <v>0</v>
      </c>
      <c r="V34" s="126">
        <f t="shared" si="11"/>
        <v>0</v>
      </c>
      <c r="W34" s="127"/>
      <c r="X34" s="126"/>
      <c r="Y34" s="126"/>
      <c r="Z34" s="126"/>
      <c r="AA34" s="126"/>
      <c r="AB34" s="126"/>
      <c r="AC34" s="126"/>
      <c r="AD34" s="126"/>
      <c r="AE34" s="126"/>
      <c r="AF34" s="126"/>
      <c r="AG34" s="123"/>
      <c r="AH34" s="123"/>
      <c r="AI34" s="123"/>
    </row>
    <row r="35" spans="1:35" s="115" customFormat="1" ht="24" hidden="1" x14ac:dyDescent="0.25">
      <c r="A35" s="125" t="s">
        <v>350</v>
      </c>
      <c r="B35" s="126" t="s">
        <v>351</v>
      </c>
      <c r="C35" s="123">
        <f t="shared" si="3"/>
        <v>0</v>
      </c>
      <c r="D35" s="126"/>
      <c r="E35" s="126">
        <f t="shared" si="10"/>
        <v>0</v>
      </c>
      <c r="F35" s="127"/>
      <c r="G35" s="126"/>
      <c r="H35" s="126"/>
      <c r="I35" s="126"/>
      <c r="J35" s="126"/>
      <c r="K35" s="126"/>
      <c r="L35" s="126"/>
      <c r="M35" s="126"/>
      <c r="N35" s="126"/>
      <c r="O35" s="123">
        <f t="shared" si="5"/>
        <v>0</v>
      </c>
      <c r="P35" s="123">
        <f t="shared" si="6"/>
        <v>0</v>
      </c>
      <c r="Q35" s="123">
        <f t="shared" si="7"/>
        <v>0</v>
      </c>
      <c r="R35" s="126"/>
      <c r="S35" s="126"/>
      <c r="T35" s="126"/>
      <c r="U35" s="123">
        <f t="shared" si="8"/>
        <v>0</v>
      </c>
      <c r="V35" s="126">
        <f t="shared" si="11"/>
        <v>0</v>
      </c>
      <c r="W35" s="127"/>
      <c r="X35" s="126"/>
      <c r="Y35" s="126"/>
      <c r="Z35" s="126"/>
      <c r="AA35" s="126"/>
      <c r="AB35" s="126"/>
      <c r="AC35" s="126"/>
      <c r="AD35" s="126"/>
      <c r="AE35" s="126"/>
      <c r="AF35" s="126"/>
      <c r="AG35" s="123"/>
      <c r="AH35" s="123"/>
      <c r="AI35" s="123"/>
    </row>
    <row r="36" spans="1:35" s="115" customFormat="1" ht="24" hidden="1" x14ac:dyDescent="0.25">
      <c r="A36" s="125" t="s">
        <v>352</v>
      </c>
      <c r="B36" s="126" t="s">
        <v>353</v>
      </c>
      <c r="C36" s="123">
        <f t="shared" si="3"/>
        <v>0</v>
      </c>
      <c r="D36" s="126"/>
      <c r="E36" s="126">
        <f t="shared" si="10"/>
        <v>0</v>
      </c>
      <c r="F36" s="127"/>
      <c r="G36" s="126"/>
      <c r="H36" s="126"/>
      <c r="I36" s="126"/>
      <c r="J36" s="126"/>
      <c r="K36" s="126"/>
      <c r="L36" s="126"/>
      <c r="M36" s="126"/>
      <c r="N36" s="126"/>
      <c r="O36" s="123">
        <f t="shared" si="5"/>
        <v>0</v>
      </c>
      <c r="P36" s="123">
        <f t="shared" si="6"/>
        <v>0</v>
      </c>
      <c r="Q36" s="123">
        <f t="shared" si="7"/>
        <v>0</v>
      </c>
      <c r="R36" s="126"/>
      <c r="S36" s="126"/>
      <c r="T36" s="126"/>
      <c r="U36" s="123">
        <f t="shared" si="8"/>
        <v>0</v>
      </c>
      <c r="V36" s="126">
        <f t="shared" si="11"/>
        <v>0</v>
      </c>
      <c r="W36" s="127"/>
      <c r="X36" s="126"/>
      <c r="Y36" s="126"/>
      <c r="Z36" s="126"/>
      <c r="AA36" s="126"/>
      <c r="AB36" s="126"/>
      <c r="AC36" s="126"/>
      <c r="AD36" s="126"/>
      <c r="AE36" s="126"/>
      <c r="AF36" s="126"/>
      <c r="AG36" s="123"/>
      <c r="AH36" s="123"/>
      <c r="AI36" s="123"/>
    </row>
    <row r="37" spans="1:35" s="115" customFormat="1" ht="24" hidden="1" x14ac:dyDescent="0.25">
      <c r="A37" s="125" t="s">
        <v>354</v>
      </c>
      <c r="B37" s="126" t="s">
        <v>355</v>
      </c>
      <c r="C37" s="123">
        <f t="shared" si="3"/>
        <v>0</v>
      </c>
      <c r="D37" s="126"/>
      <c r="E37" s="126">
        <f t="shared" si="10"/>
        <v>0</v>
      </c>
      <c r="F37" s="127"/>
      <c r="G37" s="126"/>
      <c r="H37" s="126"/>
      <c r="I37" s="126"/>
      <c r="J37" s="126"/>
      <c r="K37" s="126"/>
      <c r="L37" s="126"/>
      <c r="M37" s="126"/>
      <c r="N37" s="126"/>
      <c r="O37" s="123">
        <f t="shared" si="5"/>
        <v>0</v>
      </c>
      <c r="P37" s="123">
        <f t="shared" si="6"/>
        <v>0</v>
      </c>
      <c r="Q37" s="123">
        <f t="shared" si="7"/>
        <v>0</v>
      </c>
      <c r="R37" s="126"/>
      <c r="S37" s="126"/>
      <c r="T37" s="126"/>
      <c r="U37" s="123">
        <f t="shared" si="8"/>
        <v>0</v>
      </c>
      <c r="V37" s="126">
        <f t="shared" si="11"/>
        <v>0</v>
      </c>
      <c r="W37" s="127"/>
      <c r="X37" s="126"/>
      <c r="Y37" s="126"/>
      <c r="Z37" s="126"/>
      <c r="AA37" s="126"/>
      <c r="AB37" s="126"/>
      <c r="AC37" s="126"/>
      <c r="AD37" s="126"/>
      <c r="AE37" s="126"/>
      <c r="AF37" s="126"/>
      <c r="AG37" s="123"/>
      <c r="AH37" s="123"/>
      <c r="AI37" s="123"/>
    </row>
    <row r="38" spans="1:35" s="115" customFormat="1" ht="24" hidden="1" x14ac:dyDescent="0.25">
      <c r="A38" s="125" t="s">
        <v>356</v>
      </c>
      <c r="B38" s="126" t="s">
        <v>357</v>
      </c>
      <c r="C38" s="123">
        <f t="shared" si="3"/>
        <v>0</v>
      </c>
      <c r="D38" s="126"/>
      <c r="E38" s="126">
        <f t="shared" si="10"/>
        <v>0</v>
      </c>
      <c r="F38" s="127"/>
      <c r="G38" s="126"/>
      <c r="H38" s="126"/>
      <c r="I38" s="126"/>
      <c r="J38" s="126"/>
      <c r="K38" s="126"/>
      <c r="L38" s="126"/>
      <c r="M38" s="126"/>
      <c r="N38" s="126"/>
      <c r="O38" s="123">
        <f t="shared" si="5"/>
        <v>0</v>
      </c>
      <c r="P38" s="123">
        <f t="shared" si="6"/>
        <v>0</v>
      </c>
      <c r="Q38" s="123">
        <f t="shared" si="7"/>
        <v>0</v>
      </c>
      <c r="R38" s="126"/>
      <c r="S38" s="126"/>
      <c r="T38" s="126"/>
      <c r="U38" s="123">
        <f t="shared" si="8"/>
        <v>0</v>
      </c>
      <c r="V38" s="126">
        <f t="shared" si="11"/>
        <v>0</v>
      </c>
      <c r="W38" s="127"/>
      <c r="X38" s="126"/>
      <c r="Y38" s="126"/>
      <c r="Z38" s="126"/>
      <c r="AA38" s="126"/>
      <c r="AB38" s="126"/>
      <c r="AC38" s="126"/>
      <c r="AD38" s="126"/>
      <c r="AE38" s="126"/>
      <c r="AF38" s="126"/>
      <c r="AG38" s="123"/>
      <c r="AH38" s="123"/>
      <c r="AI38" s="123"/>
    </row>
    <row r="39" spans="1:35" s="115" customFormat="1" ht="24" hidden="1" x14ac:dyDescent="0.25">
      <c r="A39" s="125" t="s">
        <v>358</v>
      </c>
      <c r="B39" s="126" t="s">
        <v>359</v>
      </c>
      <c r="C39" s="123">
        <f t="shared" si="3"/>
        <v>0</v>
      </c>
      <c r="D39" s="126"/>
      <c r="E39" s="126">
        <f t="shared" si="10"/>
        <v>0</v>
      </c>
      <c r="F39" s="127"/>
      <c r="G39" s="126"/>
      <c r="H39" s="126"/>
      <c r="I39" s="126"/>
      <c r="J39" s="126"/>
      <c r="K39" s="126"/>
      <c r="L39" s="126"/>
      <c r="M39" s="126"/>
      <c r="N39" s="126"/>
      <c r="O39" s="123">
        <f t="shared" si="5"/>
        <v>0</v>
      </c>
      <c r="P39" s="123">
        <f t="shared" si="6"/>
        <v>0</v>
      </c>
      <c r="Q39" s="123">
        <f t="shared" si="7"/>
        <v>0</v>
      </c>
      <c r="R39" s="126"/>
      <c r="S39" s="126"/>
      <c r="T39" s="126"/>
      <c r="U39" s="123">
        <f t="shared" si="8"/>
        <v>0</v>
      </c>
      <c r="V39" s="126">
        <f t="shared" si="11"/>
        <v>0</v>
      </c>
      <c r="W39" s="127"/>
      <c r="X39" s="126"/>
      <c r="Y39" s="126"/>
      <c r="Z39" s="126"/>
      <c r="AA39" s="126"/>
      <c r="AB39" s="126"/>
      <c r="AC39" s="126"/>
      <c r="AD39" s="126"/>
      <c r="AE39" s="126"/>
      <c r="AF39" s="126"/>
      <c r="AG39" s="123"/>
      <c r="AH39" s="123"/>
      <c r="AI39" s="123"/>
    </row>
    <row r="40" spans="1:35" s="115" customFormat="1" ht="24" hidden="1" x14ac:dyDescent="0.25">
      <c r="A40" s="125" t="s">
        <v>360</v>
      </c>
      <c r="B40" s="126" t="s">
        <v>361</v>
      </c>
      <c r="C40" s="123">
        <f t="shared" si="3"/>
        <v>0</v>
      </c>
      <c r="D40" s="126"/>
      <c r="E40" s="126">
        <f t="shared" si="10"/>
        <v>0</v>
      </c>
      <c r="F40" s="127"/>
      <c r="G40" s="126"/>
      <c r="H40" s="126"/>
      <c r="I40" s="126"/>
      <c r="J40" s="126"/>
      <c r="K40" s="126"/>
      <c r="L40" s="126"/>
      <c r="M40" s="126"/>
      <c r="N40" s="126"/>
      <c r="O40" s="123">
        <f t="shared" si="5"/>
        <v>0</v>
      </c>
      <c r="P40" s="123">
        <f t="shared" si="6"/>
        <v>0</v>
      </c>
      <c r="Q40" s="123">
        <f t="shared" si="7"/>
        <v>0</v>
      </c>
      <c r="R40" s="126"/>
      <c r="S40" s="126"/>
      <c r="T40" s="126"/>
      <c r="U40" s="123">
        <f t="shared" si="8"/>
        <v>0</v>
      </c>
      <c r="V40" s="126">
        <f t="shared" si="11"/>
        <v>0</v>
      </c>
      <c r="W40" s="127"/>
      <c r="X40" s="126"/>
      <c r="Y40" s="126"/>
      <c r="Z40" s="126"/>
      <c r="AA40" s="126"/>
      <c r="AB40" s="126"/>
      <c r="AC40" s="126"/>
      <c r="AD40" s="126"/>
      <c r="AE40" s="126"/>
      <c r="AF40" s="126"/>
      <c r="AG40" s="123"/>
      <c r="AH40" s="123"/>
      <c r="AI40" s="123"/>
    </row>
    <row r="41" spans="1:35" s="115" customFormat="1" ht="24" hidden="1" x14ac:dyDescent="0.25">
      <c r="A41" s="125" t="s">
        <v>362</v>
      </c>
      <c r="B41" s="126" t="s">
        <v>363</v>
      </c>
      <c r="C41" s="123">
        <f t="shared" si="3"/>
        <v>0</v>
      </c>
      <c r="D41" s="126"/>
      <c r="E41" s="126">
        <f t="shared" si="10"/>
        <v>0</v>
      </c>
      <c r="F41" s="127"/>
      <c r="G41" s="126"/>
      <c r="H41" s="126"/>
      <c r="I41" s="126"/>
      <c r="J41" s="126"/>
      <c r="K41" s="126"/>
      <c r="L41" s="126"/>
      <c r="M41" s="126"/>
      <c r="N41" s="126"/>
      <c r="O41" s="123">
        <f t="shared" si="5"/>
        <v>0</v>
      </c>
      <c r="P41" s="123">
        <f t="shared" si="6"/>
        <v>0</v>
      </c>
      <c r="Q41" s="123">
        <f t="shared" si="7"/>
        <v>0</v>
      </c>
      <c r="R41" s="126"/>
      <c r="S41" s="126"/>
      <c r="T41" s="126"/>
      <c r="U41" s="123">
        <f t="shared" si="8"/>
        <v>0</v>
      </c>
      <c r="V41" s="126">
        <f t="shared" si="11"/>
        <v>0</v>
      </c>
      <c r="W41" s="127"/>
      <c r="X41" s="126"/>
      <c r="Y41" s="126"/>
      <c r="Z41" s="126"/>
      <c r="AA41" s="126"/>
      <c r="AB41" s="126"/>
      <c r="AC41" s="126"/>
      <c r="AD41" s="126"/>
      <c r="AE41" s="126"/>
      <c r="AF41" s="126"/>
      <c r="AG41" s="123"/>
      <c r="AH41" s="123"/>
      <c r="AI41" s="123"/>
    </row>
    <row r="42" spans="1:35" s="115" customFormat="1" ht="24" hidden="1" x14ac:dyDescent="0.25">
      <c r="A42" s="125" t="s">
        <v>364</v>
      </c>
      <c r="B42" s="126" t="s">
        <v>365</v>
      </c>
      <c r="C42" s="123">
        <f t="shared" si="3"/>
        <v>0</v>
      </c>
      <c r="D42" s="126"/>
      <c r="E42" s="126">
        <f t="shared" si="10"/>
        <v>0</v>
      </c>
      <c r="F42" s="127"/>
      <c r="G42" s="126"/>
      <c r="H42" s="126"/>
      <c r="I42" s="126"/>
      <c r="J42" s="126"/>
      <c r="K42" s="126"/>
      <c r="L42" s="126"/>
      <c r="M42" s="126"/>
      <c r="N42" s="126"/>
      <c r="O42" s="123">
        <f t="shared" si="5"/>
        <v>0</v>
      </c>
      <c r="P42" s="123">
        <f t="shared" si="6"/>
        <v>0</v>
      </c>
      <c r="Q42" s="123">
        <f t="shared" si="7"/>
        <v>0</v>
      </c>
      <c r="R42" s="126"/>
      <c r="S42" s="126"/>
      <c r="T42" s="126"/>
      <c r="U42" s="123">
        <f t="shared" si="8"/>
        <v>0</v>
      </c>
      <c r="V42" s="126">
        <f t="shared" si="11"/>
        <v>0</v>
      </c>
      <c r="W42" s="127"/>
      <c r="X42" s="126"/>
      <c r="Y42" s="126"/>
      <c r="Z42" s="126"/>
      <c r="AA42" s="126"/>
      <c r="AB42" s="126"/>
      <c r="AC42" s="126"/>
      <c r="AD42" s="126"/>
      <c r="AE42" s="126"/>
      <c r="AF42" s="126"/>
      <c r="AG42" s="123"/>
      <c r="AH42" s="123"/>
      <c r="AI42" s="123"/>
    </row>
    <row r="43" spans="1:35" s="115" customFormat="1" ht="24" hidden="1" x14ac:dyDescent="0.25">
      <c r="A43" s="125" t="s">
        <v>366</v>
      </c>
      <c r="B43" s="126" t="s">
        <v>367</v>
      </c>
      <c r="C43" s="123">
        <f t="shared" si="3"/>
        <v>0</v>
      </c>
      <c r="D43" s="126"/>
      <c r="E43" s="126">
        <f t="shared" si="10"/>
        <v>0</v>
      </c>
      <c r="F43" s="127"/>
      <c r="G43" s="126"/>
      <c r="H43" s="126"/>
      <c r="I43" s="126"/>
      <c r="J43" s="126"/>
      <c r="K43" s="126"/>
      <c r="L43" s="126"/>
      <c r="M43" s="126"/>
      <c r="N43" s="126"/>
      <c r="O43" s="123">
        <f t="shared" si="5"/>
        <v>0</v>
      </c>
      <c r="P43" s="123">
        <f t="shared" si="6"/>
        <v>0</v>
      </c>
      <c r="Q43" s="123">
        <f t="shared" si="7"/>
        <v>0</v>
      </c>
      <c r="R43" s="126"/>
      <c r="S43" s="126"/>
      <c r="T43" s="126"/>
      <c r="U43" s="123">
        <f t="shared" si="8"/>
        <v>0</v>
      </c>
      <c r="V43" s="126">
        <f t="shared" si="11"/>
        <v>0</v>
      </c>
      <c r="W43" s="127"/>
      <c r="X43" s="126"/>
      <c r="Y43" s="126"/>
      <c r="Z43" s="126"/>
      <c r="AA43" s="126"/>
      <c r="AB43" s="126"/>
      <c r="AC43" s="126"/>
      <c r="AD43" s="126"/>
      <c r="AE43" s="126"/>
      <c r="AF43" s="126"/>
      <c r="AG43" s="123"/>
      <c r="AH43" s="123"/>
      <c r="AI43" s="123"/>
    </row>
    <row r="44" spans="1:35" s="115" customFormat="1" ht="24" hidden="1" x14ac:dyDescent="0.25">
      <c r="A44" s="125" t="s">
        <v>368</v>
      </c>
      <c r="B44" s="126" t="s">
        <v>369</v>
      </c>
      <c r="C44" s="123">
        <f t="shared" si="3"/>
        <v>0</v>
      </c>
      <c r="D44" s="126"/>
      <c r="E44" s="126">
        <f t="shared" si="10"/>
        <v>0</v>
      </c>
      <c r="F44" s="127"/>
      <c r="G44" s="126"/>
      <c r="H44" s="126"/>
      <c r="I44" s="126"/>
      <c r="J44" s="126"/>
      <c r="K44" s="126"/>
      <c r="L44" s="126"/>
      <c r="M44" s="126"/>
      <c r="N44" s="126"/>
      <c r="O44" s="123">
        <f t="shared" si="5"/>
        <v>0</v>
      </c>
      <c r="P44" s="123">
        <f t="shared" si="6"/>
        <v>0</v>
      </c>
      <c r="Q44" s="123">
        <f t="shared" si="7"/>
        <v>0</v>
      </c>
      <c r="R44" s="126"/>
      <c r="S44" s="126"/>
      <c r="T44" s="126"/>
      <c r="U44" s="123">
        <f t="shared" si="8"/>
        <v>0</v>
      </c>
      <c r="V44" s="126">
        <f t="shared" si="11"/>
        <v>0</v>
      </c>
      <c r="W44" s="127"/>
      <c r="X44" s="126"/>
      <c r="Y44" s="126"/>
      <c r="Z44" s="126"/>
      <c r="AA44" s="126"/>
      <c r="AB44" s="126"/>
      <c r="AC44" s="126"/>
      <c r="AD44" s="126"/>
      <c r="AE44" s="126"/>
      <c r="AF44" s="126"/>
      <c r="AG44" s="123"/>
      <c r="AH44" s="123"/>
      <c r="AI44" s="123"/>
    </row>
    <row r="45" spans="1:35" s="115" customFormat="1" ht="24" hidden="1" x14ac:dyDescent="0.25">
      <c r="A45" s="125" t="s">
        <v>370</v>
      </c>
      <c r="B45" s="126" t="s">
        <v>371</v>
      </c>
      <c r="C45" s="123">
        <f t="shared" si="3"/>
        <v>0</v>
      </c>
      <c r="D45" s="126"/>
      <c r="E45" s="126">
        <f t="shared" si="10"/>
        <v>0</v>
      </c>
      <c r="F45" s="127"/>
      <c r="G45" s="126"/>
      <c r="H45" s="126"/>
      <c r="I45" s="126"/>
      <c r="J45" s="126"/>
      <c r="K45" s="126"/>
      <c r="L45" s="126"/>
      <c r="M45" s="126"/>
      <c r="N45" s="126"/>
      <c r="O45" s="123">
        <f t="shared" si="5"/>
        <v>0</v>
      </c>
      <c r="P45" s="123">
        <f t="shared" si="6"/>
        <v>0</v>
      </c>
      <c r="Q45" s="123">
        <f t="shared" si="7"/>
        <v>0</v>
      </c>
      <c r="R45" s="126"/>
      <c r="S45" s="126"/>
      <c r="T45" s="126"/>
      <c r="U45" s="123">
        <f t="shared" si="8"/>
        <v>0</v>
      </c>
      <c r="V45" s="126">
        <f t="shared" si="11"/>
        <v>0</v>
      </c>
      <c r="W45" s="127"/>
      <c r="X45" s="126"/>
      <c r="Y45" s="126"/>
      <c r="Z45" s="126"/>
      <c r="AA45" s="126"/>
      <c r="AB45" s="126"/>
      <c r="AC45" s="126"/>
      <c r="AD45" s="126"/>
      <c r="AE45" s="126"/>
      <c r="AF45" s="126"/>
      <c r="AG45" s="123"/>
      <c r="AH45" s="123"/>
      <c r="AI45" s="123"/>
    </row>
    <row r="46" spans="1:35" s="115" customFormat="1" ht="24" hidden="1" x14ac:dyDescent="0.25">
      <c r="A46" s="125" t="s">
        <v>372</v>
      </c>
      <c r="B46" s="126" t="s">
        <v>373</v>
      </c>
      <c r="C46" s="123">
        <f t="shared" si="3"/>
        <v>0</v>
      </c>
      <c r="D46" s="126"/>
      <c r="E46" s="126">
        <f t="shared" si="10"/>
        <v>0</v>
      </c>
      <c r="F46" s="127"/>
      <c r="G46" s="126"/>
      <c r="H46" s="126"/>
      <c r="I46" s="126"/>
      <c r="J46" s="126"/>
      <c r="K46" s="126"/>
      <c r="L46" s="126"/>
      <c r="M46" s="126"/>
      <c r="N46" s="126"/>
      <c r="O46" s="123">
        <f t="shared" si="5"/>
        <v>0</v>
      </c>
      <c r="P46" s="123">
        <f t="shared" si="6"/>
        <v>0</v>
      </c>
      <c r="Q46" s="123">
        <f t="shared" si="7"/>
        <v>0</v>
      </c>
      <c r="R46" s="126"/>
      <c r="S46" s="126"/>
      <c r="T46" s="126"/>
      <c r="U46" s="123">
        <f t="shared" si="8"/>
        <v>0</v>
      </c>
      <c r="V46" s="126">
        <f t="shared" si="11"/>
        <v>0</v>
      </c>
      <c r="W46" s="127"/>
      <c r="X46" s="126"/>
      <c r="Y46" s="126"/>
      <c r="Z46" s="126"/>
      <c r="AA46" s="126"/>
      <c r="AB46" s="126"/>
      <c r="AC46" s="126"/>
      <c r="AD46" s="126"/>
      <c r="AE46" s="126"/>
      <c r="AF46" s="126"/>
      <c r="AG46" s="123"/>
      <c r="AH46" s="123"/>
      <c r="AI46" s="123"/>
    </row>
    <row r="47" spans="1:35" s="115" customFormat="1" ht="24" hidden="1" x14ac:dyDescent="0.25">
      <c r="A47" s="125" t="s">
        <v>374</v>
      </c>
      <c r="B47" s="126" t="s">
        <v>375</v>
      </c>
      <c r="C47" s="123">
        <f t="shared" si="3"/>
        <v>0</v>
      </c>
      <c r="D47" s="126"/>
      <c r="E47" s="126">
        <f t="shared" si="10"/>
        <v>0</v>
      </c>
      <c r="F47" s="127"/>
      <c r="G47" s="126"/>
      <c r="H47" s="126"/>
      <c r="I47" s="126"/>
      <c r="J47" s="126"/>
      <c r="K47" s="126"/>
      <c r="L47" s="126"/>
      <c r="M47" s="126"/>
      <c r="N47" s="126"/>
      <c r="O47" s="123">
        <f t="shared" si="5"/>
        <v>0</v>
      </c>
      <c r="P47" s="123">
        <f t="shared" si="6"/>
        <v>0</v>
      </c>
      <c r="Q47" s="123">
        <f t="shared" si="7"/>
        <v>0</v>
      </c>
      <c r="R47" s="126"/>
      <c r="S47" s="126"/>
      <c r="T47" s="126"/>
      <c r="U47" s="123">
        <f t="shared" si="8"/>
        <v>0</v>
      </c>
      <c r="V47" s="126">
        <f t="shared" si="11"/>
        <v>0</v>
      </c>
      <c r="W47" s="127"/>
      <c r="X47" s="126"/>
      <c r="Y47" s="126"/>
      <c r="Z47" s="126"/>
      <c r="AA47" s="126"/>
      <c r="AB47" s="126"/>
      <c r="AC47" s="126"/>
      <c r="AD47" s="126"/>
      <c r="AE47" s="126"/>
      <c r="AF47" s="126"/>
      <c r="AG47" s="123"/>
      <c r="AH47" s="123"/>
      <c r="AI47" s="123"/>
    </row>
    <row r="48" spans="1:35" s="115" customFormat="1" ht="24" hidden="1" x14ac:dyDescent="0.25">
      <c r="A48" s="125" t="s">
        <v>376</v>
      </c>
      <c r="B48" s="126" t="s">
        <v>377</v>
      </c>
      <c r="C48" s="123">
        <f t="shared" si="3"/>
        <v>0</v>
      </c>
      <c r="D48" s="126"/>
      <c r="E48" s="126">
        <f t="shared" si="10"/>
        <v>0</v>
      </c>
      <c r="F48" s="127"/>
      <c r="G48" s="126"/>
      <c r="H48" s="126"/>
      <c r="I48" s="126"/>
      <c r="J48" s="126"/>
      <c r="K48" s="126"/>
      <c r="L48" s="126"/>
      <c r="M48" s="126"/>
      <c r="N48" s="126"/>
      <c r="O48" s="123">
        <f t="shared" si="5"/>
        <v>0</v>
      </c>
      <c r="P48" s="123">
        <f t="shared" si="6"/>
        <v>0</v>
      </c>
      <c r="Q48" s="123">
        <f t="shared" si="7"/>
        <v>0</v>
      </c>
      <c r="R48" s="126"/>
      <c r="S48" s="126"/>
      <c r="T48" s="126"/>
      <c r="U48" s="123">
        <f t="shared" si="8"/>
        <v>0</v>
      </c>
      <c r="V48" s="126">
        <f t="shared" si="11"/>
        <v>0</v>
      </c>
      <c r="W48" s="127"/>
      <c r="X48" s="126"/>
      <c r="Y48" s="126"/>
      <c r="Z48" s="126"/>
      <c r="AA48" s="126"/>
      <c r="AB48" s="126"/>
      <c r="AC48" s="126"/>
      <c r="AD48" s="126"/>
      <c r="AE48" s="126"/>
      <c r="AF48" s="126"/>
      <c r="AG48" s="123"/>
      <c r="AH48" s="123"/>
      <c r="AI48" s="123"/>
    </row>
    <row r="49" spans="1:35" s="115" customFormat="1" ht="24" hidden="1" x14ac:dyDescent="0.25">
      <c r="A49" s="125" t="s">
        <v>378</v>
      </c>
      <c r="B49" s="126" t="s">
        <v>379</v>
      </c>
      <c r="C49" s="123">
        <f t="shared" si="3"/>
        <v>0</v>
      </c>
      <c r="D49" s="126"/>
      <c r="E49" s="126">
        <f t="shared" si="10"/>
        <v>0</v>
      </c>
      <c r="F49" s="127"/>
      <c r="G49" s="126"/>
      <c r="H49" s="126"/>
      <c r="I49" s="126"/>
      <c r="J49" s="126"/>
      <c r="K49" s="126"/>
      <c r="L49" s="126"/>
      <c r="M49" s="126"/>
      <c r="N49" s="126"/>
      <c r="O49" s="123">
        <f t="shared" si="5"/>
        <v>0</v>
      </c>
      <c r="P49" s="123">
        <f t="shared" si="6"/>
        <v>0</v>
      </c>
      <c r="Q49" s="123">
        <f t="shared" si="7"/>
        <v>0</v>
      </c>
      <c r="R49" s="126"/>
      <c r="S49" s="126"/>
      <c r="T49" s="126"/>
      <c r="U49" s="123">
        <f t="shared" si="8"/>
        <v>0</v>
      </c>
      <c r="V49" s="126">
        <f t="shared" si="11"/>
        <v>0</v>
      </c>
      <c r="W49" s="127"/>
      <c r="X49" s="126"/>
      <c r="Y49" s="126"/>
      <c r="Z49" s="126"/>
      <c r="AA49" s="126"/>
      <c r="AB49" s="126"/>
      <c r="AC49" s="126"/>
      <c r="AD49" s="126"/>
      <c r="AE49" s="126"/>
      <c r="AF49" s="126"/>
      <c r="AG49" s="123"/>
      <c r="AH49" s="123"/>
      <c r="AI49" s="123"/>
    </row>
    <row r="50" spans="1:35" s="115" customFormat="1" ht="24" hidden="1" x14ac:dyDescent="0.25">
      <c r="A50" s="125" t="s">
        <v>380</v>
      </c>
      <c r="B50" s="126" t="s">
        <v>381</v>
      </c>
      <c r="C50" s="123">
        <f t="shared" si="3"/>
        <v>0</v>
      </c>
      <c r="D50" s="126"/>
      <c r="E50" s="126">
        <f t="shared" si="10"/>
        <v>0</v>
      </c>
      <c r="F50" s="127"/>
      <c r="G50" s="126"/>
      <c r="H50" s="126"/>
      <c r="I50" s="126"/>
      <c r="J50" s="126"/>
      <c r="K50" s="126"/>
      <c r="L50" s="126"/>
      <c r="M50" s="126"/>
      <c r="N50" s="126"/>
      <c r="O50" s="123">
        <f t="shared" si="5"/>
        <v>0</v>
      </c>
      <c r="P50" s="123">
        <f t="shared" si="6"/>
        <v>0</v>
      </c>
      <c r="Q50" s="123">
        <f t="shared" si="7"/>
        <v>0</v>
      </c>
      <c r="R50" s="126"/>
      <c r="S50" s="126"/>
      <c r="T50" s="126"/>
      <c r="U50" s="123">
        <f t="shared" si="8"/>
        <v>0</v>
      </c>
      <c r="V50" s="126">
        <f t="shared" si="11"/>
        <v>0</v>
      </c>
      <c r="W50" s="127"/>
      <c r="X50" s="126"/>
      <c r="Y50" s="126"/>
      <c r="Z50" s="126"/>
      <c r="AA50" s="126"/>
      <c r="AB50" s="126"/>
      <c r="AC50" s="126"/>
      <c r="AD50" s="126"/>
      <c r="AE50" s="126"/>
      <c r="AF50" s="126"/>
      <c r="AG50" s="123"/>
      <c r="AH50" s="123"/>
      <c r="AI50" s="123"/>
    </row>
    <row r="51" spans="1:35" s="115" customFormat="1" ht="24" hidden="1" x14ac:dyDescent="0.25">
      <c r="A51" s="125" t="s">
        <v>382</v>
      </c>
      <c r="B51" s="126" t="s">
        <v>383</v>
      </c>
      <c r="C51" s="123">
        <f t="shared" si="3"/>
        <v>0</v>
      </c>
      <c r="D51" s="126"/>
      <c r="E51" s="126">
        <f t="shared" si="10"/>
        <v>0</v>
      </c>
      <c r="F51" s="127"/>
      <c r="G51" s="126"/>
      <c r="H51" s="126"/>
      <c r="I51" s="126"/>
      <c r="J51" s="126"/>
      <c r="K51" s="126"/>
      <c r="L51" s="126"/>
      <c r="M51" s="126"/>
      <c r="N51" s="126"/>
      <c r="O51" s="123">
        <f t="shared" si="5"/>
        <v>0</v>
      </c>
      <c r="P51" s="123">
        <f t="shared" si="6"/>
        <v>0</v>
      </c>
      <c r="Q51" s="123">
        <f t="shared" si="7"/>
        <v>0</v>
      </c>
      <c r="R51" s="126"/>
      <c r="S51" s="126"/>
      <c r="T51" s="126"/>
      <c r="U51" s="123">
        <f t="shared" si="8"/>
        <v>0</v>
      </c>
      <c r="V51" s="126">
        <f t="shared" si="11"/>
        <v>0</v>
      </c>
      <c r="W51" s="127"/>
      <c r="X51" s="126"/>
      <c r="Y51" s="126"/>
      <c r="Z51" s="126"/>
      <c r="AA51" s="126"/>
      <c r="AB51" s="126"/>
      <c r="AC51" s="126"/>
      <c r="AD51" s="126"/>
      <c r="AE51" s="126"/>
      <c r="AF51" s="126"/>
      <c r="AG51" s="123"/>
      <c r="AH51" s="123"/>
      <c r="AI51" s="123"/>
    </row>
    <row r="52" spans="1:35" s="115" customFormat="1" ht="24" hidden="1" x14ac:dyDescent="0.25">
      <c r="A52" s="125" t="s">
        <v>384</v>
      </c>
      <c r="B52" s="126" t="s">
        <v>385</v>
      </c>
      <c r="C52" s="123">
        <f t="shared" si="3"/>
        <v>0</v>
      </c>
      <c r="D52" s="126"/>
      <c r="E52" s="126">
        <f t="shared" si="10"/>
        <v>0</v>
      </c>
      <c r="F52" s="127"/>
      <c r="G52" s="126"/>
      <c r="H52" s="126"/>
      <c r="I52" s="126"/>
      <c r="J52" s="126"/>
      <c r="K52" s="126"/>
      <c r="L52" s="126"/>
      <c r="M52" s="126"/>
      <c r="N52" s="126"/>
      <c r="O52" s="123">
        <f t="shared" si="5"/>
        <v>0</v>
      </c>
      <c r="P52" s="123">
        <f t="shared" si="6"/>
        <v>0</v>
      </c>
      <c r="Q52" s="123">
        <f t="shared" si="7"/>
        <v>0</v>
      </c>
      <c r="R52" s="126"/>
      <c r="S52" s="126"/>
      <c r="T52" s="126"/>
      <c r="U52" s="123">
        <f t="shared" si="8"/>
        <v>0</v>
      </c>
      <c r="V52" s="126">
        <f t="shared" si="11"/>
        <v>0</v>
      </c>
      <c r="W52" s="127"/>
      <c r="X52" s="126"/>
      <c r="Y52" s="126"/>
      <c r="Z52" s="126"/>
      <c r="AA52" s="126"/>
      <c r="AB52" s="126"/>
      <c r="AC52" s="126"/>
      <c r="AD52" s="126"/>
      <c r="AE52" s="126"/>
      <c r="AF52" s="126"/>
      <c r="AG52" s="123"/>
      <c r="AH52" s="123"/>
      <c r="AI52" s="123"/>
    </row>
    <row r="53" spans="1:35" s="115" customFormat="1" ht="24" hidden="1" x14ac:dyDescent="0.25">
      <c r="A53" s="125" t="s">
        <v>386</v>
      </c>
      <c r="B53" s="126" t="s">
        <v>387</v>
      </c>
      <c r="C53" s="123">
        <f t="shared" si="3"/>
        <v>0</v>
      </c>
      <c r="D53" s="126"/>
      <c r="E53" s="126">
        <f t="shared" si="10"/>
        <v>0</v>
      </c>
      <c r="F53" s="127"/>
      <c r="G53" s="126"/>
      <c r="H53" s="126"/>
      <c r="I53" s="126"/>
      <c r="J53" s="126"/>
      <c r="K53" s="126"/>
      <c r="L53" s="126"/>
      <c r="M53" s="126"/>
      <c r="N53" s="126"/>
      <c r="O53" s="123">
        <f t="shared" si="5"/>
        <v>0</v>
      </c>
      <c r="P53" s="123">
        <f t="shared" si="6"/>
        <v>0</v>
      </c>
      <c r="Q53" s="123">
        <f t="shared" si="7"/>
        <v>0</v>
      </c>
      <c r="R53" s="126"/>
      <c r="S53" s="126"/>
      <c r="T53" s="126"/>
      <c r="U53" s="123">
        <f t="shared" si="8"/>
        <v>0</v>
      </c>
      <c r="V53" s="126">
        <f t="shared" si="11"/>
        <v>0</v>
      </c>
      <c r="W53" s="127"/>
      <c r="X53" s="126"/>
      <c r="Y53" s="126"/>
      <c r="Z53" s="126"/>
      <c r="AA53" s="126"/>
      <c r="AB53" s="126"/>
      <c r="AC53" s="126"/>
      <c r="AD53" s="126"/>
      <c r="AE53" s="126"/>
      <c r="AF53" s="126"/>
      <c r="AG53" s="123"/>
      <c r="AH53" s="123"/>
      <c r="AI53" s="123"/>
    </row>
    <row r="54" spans="1:35" s="115" customFormat="1" ht="24" hidden="1" x14ac:dyDescent="0.25">
      <c r="A54" s="125" t="s">
        <v>388</v>
      </c>
      <c r="B54" s="126" t="s">
        <v>389</v>
      </c>
      <c r="C54" s="123">
        <f t="shared" si="3"/>
        <v>0</v>
      </c>
      <c r="D54" s="126"/>
      <c r="E54" s="126">
        <f t="shared" si="10"/>
        <v>0</v>
      </c>
      <c r="F54" s="127"/>
      <c r="G54" s="126"/>
      <c r="H54" s="126"/>
      <c r="I54" s="126"/>
      <c r="J54" s="126"/>
      <c r="K54" s="126"/>
      <c r="L54" s="126"/>
      <c r="M54" s="126"/>
      <c r="N54" s="126"/>
      <c r="O54" s="123">
        <f t="shared" si="5"/>
        <v>0</v>
      </c>
      <c r="P54" s="123">
        <f t="shared" si="6"/>
        <v>0</v>
      </c>
      <c r="Q54" s="123">
        <f t="shared" si="7"/>
        <v>0</v>
      </c>
      <c r="R54" s="126"/>
      <c r="S54" s="126"/>
      <c r="T54" s="126"/>
      <c r="U54" s="123">
        <f t="shared" si="8"/>
        <v>0</v>
      </c>
      <c r="V54" s="126">
        <f t="shared" si="11"/>
        <v>0</v>
      </c>
      <c r="W54" s="127"/>
      <c r="X54" s="126"/>
      <c r="Y54" s="126"/>
      <c r="Z54" s="126"/>
      <c r="AA54" s="126"/>
      <c r="AB54" s="126"/>
      <c r="AC54" s="126"/>
      <c r="AD54" s="126"/>
      <c r="AE54" s="126"/>
      <c r="AF54" s="126"/>
      <c r="AG54" s="123"/>
      <c r="AH54" s="123"/>
      <c r="AI54" s="123"/>
    </row>
    <row r="55" spans="1:35" s="115" customFormat="1" ht="24" hidden="1" x14ac:dyDescent="0.25">
      <c r="A55" s="125" t="s">
        <v>390</v>
      </c>
      <c r="B55" s="126" t="s">
        <v>391</v>
      </c>
      <c r="C55" s="123">
        <f t="shared" si="3"/>
        <v>0</v>
      </c>
      <c r="D55" s="126"/>
      <c r="E55" s="126">
        <f t="shared" si="10"/>
        <v>0</v>
      </c>
      <c r="F55" s="127"/>
      <c r="G55" s="126"/>
      <c r="H55" s="126"/>
      <c r="I55" s="126"/>
      <c r="J55" s="126"/>
      <c r="K55" s="126"/>
      <c r="L55" s="126"/>
      <c r="M55" s="126"/>
      <c r="N55" s="126"/>
      <c r="O55" s="123">
        <f t="shared" si="5"/>
        <v>0</v>
      </c>
      <c r="P55" s="123">
        <f t="shared" si="6"/>
        <v>0</v>
      </c>
      <c r="Q55" s="123">
        <f t="shared" si="7"/>
        <v>0</v>
      </c>
      <c r="R55" s="126"/>
      <c r="S55" s="126"/>
      <c r="T55" s="126"/>
      <c r="U55" s="123">
        <f t="shared" si="8"/>
        <v>0</v>
      </c>
      <c r="V55" s="126">
        <f t="shared" si="11"/>
        <v>0</v>
      </c>
      <c r="W55" s="127"/>
      <c r="X55" s="126"/>
      <c r="Y55" s="126"/>
      <c r="Z55" s="126"/>
      <c r="AA55" s="126"/>
      <c r="AB55" s="126"/>
      <c r="AC55" s="126"/>
      <c r="AD55" s="126"/>
      <c r="AE55" s="126"/>
      <c r="AF55" s="126"/>
      <c r="AG55" s="123"/>
      <c r="AH55" s="123"/>
      <c r="AI55" s="123"/>
    </row>
    <row r="56" spans="1:35" s="115" customFormat="1" ht="24" hidden="1" x14ac:dyDescent="0.25">
      <c r="A56" s="125" t="s">
        <v>392</v>
      </c>
      <c r="B56" s="126" t="s">
        <v>393</v>
      </c>
      <c r="C56" s="123">
        <f t="shared" si="3"/>
        <v>0</v>
      </c>
      <c r="D56" s="126"/>
      <c r="E56" s="126">
        <f t="shared" si="10"/>
        <v>0</v>
      </c>
      <c r="F56" s="127"/>
      <c r="G56" s="126"/>
      <c r="H56" s="126"/>
      <c r="I56" s="126"/>
      <c r="J56" s="126"/>
      <c r="K56" s="126"/>
      <c r="L56" s="126"/>
      <c r="M56" s="126"/>
      <c r="N56" s="126"/>
      <c r="O56" s="123">
        <f t="shared" si="5"/>
        <v>0</v>
      </c>
      <c r="P56" s="123">
        <f t="shared" si="6"/>
        <v>0</v>
      </c>
      <c r="Q56" s="123">
        <f t="shared" si="7"/>
        <v>0</v>
      </c>
      <c r="R56" s="126"/>
      <c r="S56" s="126"/>
      <c r="T56" s="126"/>
      <c r="U56" s="123">
        <f t="shared" si="8"/>
        <v>0</v>
      </c>
      <c r="V56" s="126">
        <f t="shared" si="11"/>
        <v>0</v>
      </c>
      <c r="W56" s="127"/>
      <c r="X56" s="126"/>
      <c r="Y56" s="126"/>
      <c r="Z56" s="126"/>
      <c r="AA56" s="126"/>
      <c r="AB56" s="126"/>
      <c r="AC56" s="126"/>
      <c r="AD56" s="126"/>
      <c r="AE56" s="126"/>
      <c r="AF56" s="126"/>
      <c r="AG56" s="123"/>
      <c r="AH56" s="123"/>
      <c r="AI56" s="123"/>
    </row>
    <row r="57" spans="1:35" s="115" customFormat="1" ht="24" hidden="1" x14ac:dyDescent="0.25">
      <c r="A57" s="125" t="s">
        <v>394</v>
      </c>
      <c r="B57" s="126" t="s">
        <v>395</v>
      </c>
      <c r="C57" s="123">
        <f t="shared" si="3"/>
        <v>0</v>
      </c>
      <c r="D57" s="126"/>
      <c r="E57" s="126">
        <f t="shared" si="10"/>
        <v>0</v>
      </c>
      <c r="F57" s="127"/>
      <c r="G57" s="126"/>
      <c r="H57" s="126"/>
      <c r="I57" s="126"/>
      <c r="J57" s="126"/>
      <c r="K57" s="126"/>
      <c r="L57" s="126"/>
      <c r="M57" s="126"/>
      <c r="N57" s="126"/>
      <c r="O57" s="123">
        <f t="shared" si="5"/>
        <v>0</v>
      </c>
      <c r="P57" s="123">
        <f t="shared" si="6"/>
        <v>0</v>
      </c>
      <c r="Q57" s="123">
        <f t="shared" si="7"/>
        <v>0</v>
      </c>
      <c r="R57" s="126"/>
      <c r="S57" s="126"/>
      <c r="T57" s="126"/>
      <c r="U57" s="123">
        <f t="shared" si="8"/>
        <v>0</v>
      </c>
      <c r="V57" s="126">
        <f t="shared" si="11"/>
        <v>0</v>
      </c>
      <c r="W57" s="127"/>
      <c r="X57" s="126"/>
      <c r="Y57" s="126"/>
      <c r="Z57" s="126"/>
      <c r="AA57" s="126"/>
      <c r="AB57" s="126"/>
      <c r="AC57" s="126"/>
      <c r="AD57" s="126"/>
      <c r="AE57" s="126"/>
      <c r="AF57" s="126"/>
      <c r="AG57" s="123"/>
      <c r="AH57" s="123"/>
      <c r="AI57" s="123"/>
    </row>
    <row r="58" spans="1:35" s="115" customFormat="1" ht="24" hidden="1" x14ac:dyDescent="0.25">
      <c r="A58" s="125" t="s">
        <v>396</v>
      </c>
      <c r="B58" s="126" t="s">
        <v>397</v>
      </c>
      <c r="C58" s="123">
        <f t="shared" si="3"/>
        <v>0</v>
      </c>
      <c r="D58" s="126"/>
      <c r="E58" s="126">
        <f t="shared" si="10"/>
        <v>0</v>
      </c>
      <c r="F58" s="127"/>
      <c r="G58" s="126"/>
      <c r="H58" s="126"/>
      <c r="I58" s="126"/>
      <c r="J58" s="126"/>
      <c r="K58" s="126"/>
      <c r="L58" s="126"/>
      <c r="M58" s="126"/>
      <c r="N58" s="126"/>
      <c r="O58" s="123">
        <f t="shared" si="5"/>
        <v>0</v>
      </c>
      <c r="P58" s="123">
        <f t="shared" si="6"/>
        <v>0</v>
      </c>
      <c r="Q58" s="123">
        <f t="shared" si="7"/>
        <v>0</v>
      </c>
      <c r="R58" s="126"/>
      <c r="S58" s="126"/>
      <c r="T58" s="126"/>
      <c r="U58" s="123">
        <f t="shared" si="8"/>
        <v>0</v>
      </c>
      <c r="V58" s="126">
        <f t="shared" si="11"/>
        <v>0</v>
      </c>
      <c r="W58" s="127"/>
      <c r="X58" s="126"/>
      <c r="Y58" s="126"/>
      <c r="Z58" s="126"/>
      <c r="AA58" s="126"/>
      <c r="AB58" s="126"/>
      <c r="AC58" s="126"/>
      <c r="AD58" s="126"/>
      <c r="AE58" s="126"/>
      <c r="AF58" s="126"/>
      <c r="AG58" s="123"/>
      <c r="AH58" s="123"/>
      <c r="AI58" s="123"/>
    </row>
    <row r="59" spans="1:35" s="115" customFormat="1" ht="24" hidden="1" x14ac:dyDescent="0.25">
      <c r="A59" s="125" t="s">
        <v>398</v>
      </c>
      <c r="B59" s="126" t="s">
        <v>399</v>
      </c>
      <c r="C59" s="123">
        <f t="shared" si="3"/>
        <v>0</v>
      </c>
      <c r="D59" s="126"/>
      <c r="E59" s="126">
        <f t="shared" si="10"/>
        <v>0</v>
      </c>
      <c r="F59" s="127"/>
      <c r="G59" s="126"/>
      <c r="H59" s="126"/>
      <c r="I59" s="126"/>
      <c r="J59" s="126"/>
      <c r="K59" s="126"/>
      <c r="L59" s="126"/>
      <c r="M59" s="126"/>
      <c r="N59" s="126"/>
      <c r="O59" s="123">
        <f t="shared" si="5"/>
        <v>0</v>
      </c>
      <c r="P59" s="123">
        <f t="shared" si="6"/>
        <v>0</v>
      </c>
      <c r="Q59" s="123">
        <f t="shared" si="7"/>
        <v>0</v>
      </c>
      <c r="R59" s="126"/>
      <c r="S59" s="126"/>
      <c r="T59" s="126"/>
      <c r="U59" s="123">
        <f t="shared" si="8"/>
        <v>0</v>
      </c>
      <c r="V59" s="126">
        <f t="shared" si="11"/>
        <v>0</v>
      </c>
      <c r="W59" s="127"/>
      <c r="X59" s="126"/>
      <c r="Y59" s="126"/>
      <c r="Z59" s="126"/>
      <c r="AA59" s="126"/>
      <c r="AB59" s="126"/>
      <c r="AC59" s="126"/>
      <c r="AD59" s="126"/>
      <c r="AE59" s="126"/>
      <c r="AF59" s="126"/>
      <c r="AG59" s="123"/>
      <c r="AH59" s="123"/>
      <c r="AI59" s="123"/>
    </row>
    <row r="60" spans="1:35" s="115" customFormat="1" ht="24" hidden="1" x14ac:dyDescent="0.25">
      <c r="A60" s="125" t="s">
        <v>400</v>
      </c>
      <c r="B60" s="126" t="s">
        <v>401</v>
      </c>
      <c r="C60" s="123">
        <f t="shared" si="3"/>
        <v>0</v>
      </c>
      <c r="D60" s="126"/>
      <c r="E60" s="126">
        <f t="shared" si="10"/>
        <v>0</v>
      </c>
      <c r="F60" s="127"/>
      <c r="G60" s="126"/>
      <c r="H60" s="126"/>
      <c r="I60" s="126"/>
      <c r="J60" s="126"/>
      <c r="K60" s="126"/>
      <c r="L60" s="126"/>
      <c r="M60" s="126"/>
      <c r="N60" s="126"/>
      <c r="O60" s="123">
        <f t="shared" si="5"/>
        <v>0</v>
      </c>
      <c r="P60" s="123">
        <f t="shared" si="6"/>
        <v>0</v>
      </c>
      <c r="Q60" s="123">
        <f t="shared" si="7"/>
        <v>0</v>
      </c>
      <c r="R60" s="126"/>
      <c r="S60" s="126"/>
      <c r="T60" s="126"/>
      <c r="U60" s="123">
        <f t="shared" si="8"/>
        <v>0</v>
      </c>
      <c r="V60" s="126">
        <f t="shared" si="11"/>
        <v>0</v>
      </c>
      <c r="W60" s="127"/>
      <c r="X60" s="126"/>
      <c r="Y60" s="126"/>
      <c r="Z60" s="126"/>
      <c r="AA60" s="126"/>
      <c r="AB60" s="126"/>
      <c r="AC60" s="126"/>
      <c r="AD60" s="126"/>
      <c r="AE60" s="126"/>
      <c r="AF60" s="126"/>
      <c r="AG60" s="123"/>
      <c r="AH60" s="123"/>
      <c r="AI60" s="123"/>
    </row>
    <row r="61" spans="1:35" s="115" customFormat="1" ht="24" hidden="1" x14ac:dyDescent="0.25">
      <c r="A61" s="125" t="s">
        <v>402</v>
      </c>
      <c r="B61" s="126" t="s">
        <v>403</v>
      </c>
      <c r="C61" s="123">
        <f t="shared" si="3"/>
        <v>0</v>
      </c>
      <c r="D61" s="126"/>
      <c r="E61" s="126">
        <f t="shared" si="10"/>
        <v>0</v>
      </c>
      <c r="F61" s="127"/>
      <c r="G61" s="126"/>
      <c r="H61" s="126"/>
      <c r="I61" s="126"/>
      <c r="J61" s="126"/>
      <c r="K61" s="126"/>
      <c r="L61" s="126"/>
      <c r="M61" s="126"/>
      <c r="N61" s="126"/>
      <c r="O61" s="123">
        <f t="shared" si="5"/>
        <v>0</v>
      </c>
      <c r="P61" s="123">
        <f t="shared" si="6"/>
        <v>0</v>
      </c>
      <c r="Q61" s="123">
        <f t="shared" si="7"/>
        <v>0</v>
      </c>
      <c r="R61" s="126"/>
      <c r="S61" s="126"/>
      <c r="T61" s="126"/>
      <c r="U61" s="123">
        <f t="shared" si="8"/>
        <v>0</v>
      </c>
      <c r="V61" s="126">
        <f t="shared" si="11"/>
        <v>0</v>
      </c>
      <c r="W61" s="127"/>
      <c r="X61" s="126"/>
      <c r="Y61" s="126"/>
      <c r="Z61" s="126"/>
      <c r="AA61" s="126"/>
      <c r="AB61" s="126"/>
      <c r="AC61" s="126"/>
      <c r="AD61" s="126"/>
      <c r="AE61" s="126"/>
      <c r="AF61" s="126"/>
      <c r="AG61" s="123"/>
      <c r="AH61" s="123"/>
      <c r="AI61" s="123"/>
    </row>
    <row r="62" spans="1:35" s="115" customFormat="1" ht="24" hidden="1" x14ac:dyDescent="0.25">
      <c r="A62" s="125" t="s">
        <v>404</v>
      </c>
      <c r="B62" s="126" t="s">
        <v>405</v>
      </c>
      <c r="C62" s="123">
        <f t="shared" si="3"/>
        <v>0</v>
      </c>
      <c r="D62" s="126"/>
      <c r="E62" s="126">
        <f t="shared" si="10"/>
        <v>0</v>
      </c>
      <c r="F62" s="127"/>
      <c r="G62" s="126"/>
      <c r="H62" s="126"/>
      <c r="I62" s="126"/>
      <c r="J62" s="126"/>
      <c r="K62" s="126"/>
      <c r="L62" s="126"/>
      <c r="M62" s="126"/>
      <c r="N62" s="126"/>
      <c r="O62" s="123">
        <f t="shared" si="5"/>
        <v>0</v>
      </c>
      <c r="P62" s="123">
        <f t="shared" si="6"/>
        <v>0</v>
      </c>
      <c r="Q62" s="123">
        <f t="shared" si="7"/>
        <v>0</v>
      </c>
      <c r="R62" s="126"/>
      <c r="S62" s="126"/>
      <c r="T62" s="126"/>
      <c r="U62" s="123">
        <f t="shared" si="8"/>
        <v>0</v>
      </c>
      <c r="V62" s="126">
        <f t="shared" si="11"/>
        <v>0</v>
      </c>
      <c r="W62" s="127"/>
      <c r="X62" s="126"/>
      <c r="Y62" s="126"/>
      <c r="Z62" s="126"/>
      <c r="AA62" s="126"/>
      <c r="AB62" s="126"/>
      <c r="AC62" s="126"/>
      <c r="AD62" s="126"/>
      <c r="AE62" s="126"/>
      <c r="AF62" s="126"/>
      <c r="AG62" s="123"/>
      <c r="AH62" s="123"/>
      <c r="AI62" s="123"/>
    </row>
    <row r="63" spans="1:35" s="115" customFormat="1" ht="24" hidden="1" x14ac:dyDescent="0.25">
      <c r="A63" s="125" t="s">
        <v>406</v>
      </c>
      <c r="B63" s="126" t="s">
        <v>407</v>
      </c>
      <c r="C63" s="123">
        <f t="shared" si="3"/>
        <v>0</v>
      </c>
      <c r="D63" s="126"/>
      <c r="E63" s="126">
        <f t="shared" si="10"/>
        <v>0</v>
      </c>
      <c r="F63" s="127"/>
      <c r="G63" s="126"/>
      <c r="H63" s="126"/>
      <c r="I63" s="126"/>
      <c r="J63" s="126"/>
      <c r="K63" s="126"/>
      <c r="L63" s="126"/>
      <c r="M63" s="126"/>
      <c r="N63" s="126"/>
      <c r="O63" s="123">
        <f t="shared" si="5"/>
        <v>0</v>
      </c>
      <c r="P63" s="123">
        <f t="shared" si="6"/>
        <v>0</v>
      </c>
      <c r="Q63" s="123">
        <f t="shared" si="7"/>
        <v>0</v>
      </c>
      <c r="R63" s="126"/>
      <c r="S63" s="126"/>
      <c r="T63" s="126"/>
      <c r="U63" s="123">
        <f t="shared" si="8"/>
        <v>0</v>
      </c>
      <c r="V63" s="126">
        <f t="shared" si="11"/>
        <v>0</v>
      </c>
      <c r="W63" s="127"/>
      <c r="X63" s="126"/>
      <c r="Y63" s="126"/>
      <c r="Z63" s="126"/>
      <c r="AA63" s="126"/>
      <c r="AB63" s="126"/>
      <c r="AC63" s="126"/>
      <c r="AD63" s="126"/>
      <c r="AE63" s="126"/>
      <c r="AF63" s="126"/>
      <c r="AG63" s="123"/>
      <c r="AH63" s="123"/>
      <c r="AI63" s="123"/>
    </row>
    <row r="64" spans="1:35" s="115" customFormat="1" ht="24" hidden="1" x14ac:dyDescent="0.25">
      <c r="A64" s="125" t="s">
        <v>408</v>
      </c>
      <c r="B64" s="126" t="s">
        <v>409</v>
      </c>
      <c r="C64" s="123">
        <f t="shared" si="3"/>
        <v>0</v>
      </c>
      <c r="D64" s="126"/>
      <c r="E64" s="126">
        <f t="shared" si="10"/>
        <v>0</v>
      </c>
      <c r="F64" s="127"/>
      <c r="G64" s="126"/>
      <c r="H64" s="126"/>
      <c r="I64" s="126"/>
      <c r="J64" s="126"/>
      <c r="K64" s="126"/>
      <c r="L64" s="126"/>
      <c r="M64" s="126"/>
      <c r="N64" s="126"/>
      <c r="O64" s="123">
        <f t="shared" si="5"/>
        <v>63</v>
      </c>
      <c r="P64" s="123">
        <f t="shared" si="6"/>
        <v>0</v>
      </c>
      <c r="Q64" s="123">
        <f t="shared" si="7"/>
        <v>63</v>
      </c>
      <c r="R64" s="126"/>
      <c r="S64" s="126"/>
      <c r="T64" s="126"/>
      <c r="U64" s="123">
        <f t="shared" si="8"/>
        <v>63</v>
      </c>
      <c r="V64" s="126">
        <v>63</v>
      </c>
      <c r="W64" s="127"/>
      <c r="X64" s="126"/>
      <c r="Y64" s="126"/>
      <c r="Z64" s="126"/>
      <c r="AA64" s="126"/>
      <c r="AB64" s="126"/>
      <c r="AC64" s="126"/>
      <c r="AD64" s="126"/>
      <c r="AE64" s="126"/>
      <c r="AF64" s="126"/>
      <c r="AG64" s="123"/>
      <c r="AH64" s="123"/>
      <c r="AI64" s="123"/>
    </row>
    <row r="65" spans="1:35" s="115" customFormat="1" ht="24" hidden="1" x14ac:dyDescent="0.25">
      <c r="A65" s="125" t="s">
        <v>410</v>
      </c>
      <c r="B65" s="126" t="s">
        <v>411</v>
      </c>
      <c r="C65" s="123">
        <f t="shared" si="3"/>
        <v>0</v>
      </c>
      <c r="D65" s="126"/>
      <c r="E65" s="126">
        <f t="shared" si="10"/>
        <v>0</v>
      </c>
      <c r="F65" s="127"/>
      <c r="G65" s="126"/>
      <c r="H65" s="126"/>
      <c r="I65" s="126"/>
      <c r="J65" s="126"/>
      <c r="K65" s="126"/>
      <c r="L65" s="126"/>
      <c r="M65" s="126"/>
      <c r="N65" s="126"/>
      <c r="O65" s="123">
        <f t="shared" si="5"/>
        <v>0</v>
      </c>
      <c r="P65" s="123">
        <f t="shared" si="6"/>
        <v>0</v>
      </c>
      <c r="Q65" s="123">
        <f t="shared" si="7"/>
        <v>0</v>
      </c>
      <c r="R65" s="126"/>
      <c r="S65" s="126"/>
      <c r="T65" s="126"/>
      <c r="U65" s="123">
        <f t="shared" si="8"/>
        <v>0</v>
      </c>
      <c r="V65" s="126">
        <f t="shared" si="11"/>
        <v>0</v>
      </c>
      <c r="W65" s="127"/>
      <c r="X65" s="126"/>
      <c r="Y65" s="126"/>
      <c r="Z65" s="126"/>
      <c r="AA65" s="126"/>
      <c r="AB65" s="126"/>
      <c r="AC65" s="126"/>
      <c r="AD65" s="126"/>
      <c r="AE65" s="126"/>
      <c r="AF65" s="126"/>
      <c r="AG65" s="123"/>
      <c r="AH65" s="123"/>
      <c r="AI65" s="123"/>
    </row>
    <row r="66" spans="1:35" s="115" customFormat="1" ht="24" hidden="1" x14ac:dyDescent="0.25">
      <c r="A66" s="125" t="s">
        <v>412</v>
      </c>
      <c r="B66" s="126" t="s">
        <v>413</v>
      </c>
      <c r="C66" s="123">
        <f t="shared" si="3"/>
        <v>0</v>
      </c>
      <c r="D66" s="126"/>
      <c r="E66" s="126">
        <f t="shared" si="10"/>
        <v>0</v>
      </c>
      <c r="F66" s="127"/>
      <c r="G66" s="126"/>
      <c r="H66" s="126"/>
      <c r="I66" s="126"/>
      <c r="J66" s="126"/>
      <c r="K66" s="126"/>
      <c r="L66" s="126"/>
      <c r="M66" s="126"/>
      <c r="N66" s="126"/>
      <c r="O66" s="123">
        <f t="shared" si="5"/>
        <v>0</v>
      </c>
      <c r="P66" s="123">
        <f t="shared" si="6"/>
        <v>0</v>
      </c>
      <c r="Q66" s="123">
        <f t="shared" si="7"/>
        <v>0</v>
      </c>
      <c r="R66" s="126"/>
      <c r="S66" s="126"/>
      <c r="T66" s="126"/>
      <c r="U66" s="123">
        <f t="shared" si="8"/>
        <v>0</v>
      </c>
      <c r="V66" s="126">
        <f t="shared" si="11"/>
        <v>0</v>
      </c>
      <c r="W66" s="127"/>
      <c r="X66" s="126"/>
      <c r="Y66" s="126"/>
      <c r="Z66" s="126"/>
      <c r="AA66" s="126"/>
      <c r="AB66" s="126"/>
      <c r="AC66" s="126"/>
      <c r="AD66" s="126"/>
      <c r="AE66" s="126"/>
      <c r="AF66" s="126"/>
      <c r="AG66" s="123"/>
      <c r="AH66" s="123"/>
      <c r="AI66" s="123"/>
    </row>
    <row r="67" spans="1:35" s="115" customFormat="1" ht="24" hidden="1" x14ac:dyDescent="0.25">
      <c r="A67" s="125" t="s">
        <v>414</v>
      </c>
      <c r="B67" s="126" t="s">
        <v>415</v>
      </c>
      <c r="C67" s="123">
        <f t="shared" si="3"/>
        <v>0</v>
      </c>
      <c r="D67" s="126"/>
      <c r="E67" s="126">
        <f t="shared" si="10"/>
        <v>0</v>
      </c>
      <c r="F67" s="127"/>
      <c r="G67" s="126"/>
      <c r="H67" s="126"/>
      <c r="I67" s="126"/>
      <c r="J67" s="126"/>
      <c r="K67" s="126"/>
      <c r="L67" s="126"/>
      <c r="M67" s="126"/>
      <c r="N67" s="126"/>
      <c r="O67" s="123">
        <f t="shared" si="5"/>
        <v>0</v>
      </c>
      <c r="P67" s="123">
        <f t="shared" si="6"/>
        <v>0</v>
      </c>
      <c r="Q67" s="123">
        <f t="shared" si="7"/>
        <v>0</v>
      </c>
      <c r="R67" s="126"/>
      <c r="S67" s="126"/>
      <c r="T67" s="126"/>
      <c r="U67" s="123">
        <f t="shared" si="8"/>
        <v>0</v>
      </c>
      <c r="V67" s="126">
        <f t="shared" si="11"/>
        <v>0</v>
      </c>
      <c r="W67" s="127"/>
      <c r="X67" s="126"/>
      <c r="Y67" s="126"/>
      <c r="Z67" s="126"/>
      <c r="AA67" s="126"/>
      <c r="AB67" s="126"/>
      <c r="AC67" s="126"/>
      <c r="AD67" s="126"/>
      <c r="AE67" s="126"/>
      <c r="AF67" s="126"/>
      <c r="AG67" s="123"/>
      <c r="AH67" s="123"/>
      <c r="AI67" s="123"/>
    </row>
    <row r="68" spans="1:35" s="115" customFormat="1" ht="12" hidden="1" x14ac:dyDescent="0.25">
      <c r="A68" s="117">
        <v>4</v>
      </c>
      <c r="B68" s="123" t="s">
        <v>416</v>
      </c>
      <c r="C68" s="123">
        <f t="shared" si="3"/>
        <v>0</v>
      </c>
      <c r="D68" s="123"/>
      <c r="E68" s="123">
        <f t="shared" ref="E68:AE68" si="12">SUM(E69:E70)</f>
        <v>0</v>
      </c>
      <c r="F68" s="123">
        <f t="shared" si="12"/>
        <v>0</v>
      </c>
      <c r="G68" s="123">
        <f t="shared" si="12"/>
        <v>0</v>
      </c>
      <c r="H68" s="123">
        <f t="shared" si="12"/>
        <v>0</v>
      </c>
      <c r="I68" s="123">
        <f t="shared" si="12"/>
        <v>0</v>
      </c>
      <c r="J68" s="123">
        <f t="shared" si="12"/>
        <v>0</v>
      </c>
      <c r="K68" s="123">
        <f t="shared" si="12"/>
        <v>0</v>
      </c>
      <c r="L68" s="123">
        <f t="shared" si="12"/>
        <v>0</v>
      </c>
      <c r="M68" s="123">
        <f t="shared" si="12"/>
        <v>0</v>
      </c>
      <c r="N68" s="123">
        <f t="shared" si="12"/>
        <v>0</v>
      </c>
      <c r="O68" s="123">
        <f t="shared" si="5"/>
        <v>0</v>
      </c>
      <c r="P68" s="123">
        <f t="shared" si="6"/>
        <v>0</v>
      </c>
      <c r="Q68" s="123">
        <f t="shared" si="7"/>
        <v>0</v>
      </c>
      <c r="R68" s="123"/>
      <c r="S68" s="123"/>
      <c r="T68" s="123"/>
      <c r="U68" s="123">
        <f t="shared" si="8"/>
        <v>0</v>
      </c>
      <c r="V68" s="123">
        <f t="shared" si="12"/>
        <v>0</v>
      </c>
      <c r="W68" s="123">
        <f t="shared" si="12"/>
        <v>0</v>
      </c>
      <c r="X68" s="123">
        <f t="shared" si="12"/>
        <v>0</v>
      </c>
      <c r="Y68" s="123">
        <f t="shared" si="12"/>
        <v>0</v>
      </c>
      <c r="Z68" s="123">
        <f t="shared" si="12"/>
        <v>0</v>
      </c>
      <c r="AA68" s="123">
        <f t="shared" si="12"/>
        <v>0</v>
      </c>
      <c r="AB68" s="123">
        <f t="shared" si="12"/>
        <v>0</v>
      </c>
      <c r="AC68" s="123">
        <f t="shared" si="12"/>
        <v>0</v>
      </c>
      <c r="AD68" s="123">
        <f t="shared" si="12"/>
        <v>0</v>
      </c>
      <c r="AE68" s="123">
        <f t="shared" si="12"/>
        <v>0</v>
      </c>
      <c r="AF68" s="123"/>
      <c r="AG68" s="123"/>
      <c r="AH68" s="123"/>
      <c r="AI68" s="123"/>
    </row>
    <row r="69" spans="1:35" s="115" customFormat="1" ht="15" hidden="1" x14ac:dyDescent="0.25">
      <c r="A69" s="125" t="s">
        <v>417</v>
      </c>
      <c r="B69" s="126" t="s">
        <v>418</v>
      </c>
      <c r="C69" s="123">
        <f t="shared" si="3"/>
        <v>0</v>
      </c>
      <c r="D69" s="126"/>
      <c r="E69" s="126">
        <f>SUM(F69:N69)</f>
        <v>0</v>
      </c>
      <c r="F69" s="127"/>
      <c r="G69" s="126"/>
      <c r="H69" s="126"/>
      <c r="I69" s="126"/>
      <c r="J69" s="126"/>
      <c r="K69" s="126"/>
      <c r="L69" s="126"/>
      <c r="M69" s="126"/>
      <c r="N69" s="126"/>
      <c r="O69" s="123">
        <f t="shared" si="5"/>
        <v>0</v>
      </c>
      <c r="P69" s="123">
        <f t="shared" si="6"/>
        <v>0</v>
      </c>
      <c r="Q69" s="123">
        <f t="shared" si="7"/>
        <v>0</v>
      </c>
      <c r="R69" s="126"/>
      <c r="S69" s="126"/>
      <c r="T69" s="126"/>
      <c r="U69" s="123">
        <f t="shared" si="8"/>
        <v>0</v>
      </c>
      <c r="V69" s="126">
        <f>SUM(W69:AE69)</f>
        <v>0</v>
      </c>
      <c r="W69" s="127"/>
      <c r="X69" s="126"/>
      <c r="Y69" s="126"/>
      <c r="Z69" s="126"/>
      <c r="AA69" s="126"/>
      <c r="AB69" s="126"/>
      <c r="AC69" s="126"/>
      <c r="AD69" s="126"/>
      <c r="AE69" s="126"/>
      <c r="AF69" s="126"/>
      <c r="AG69" s="123"/>
      <c r="AH69" s="123"/>
      <c r="AI69" s="123"/>
    </row>
    <row r="70" spans="1:35" s="115" customFormat="1" ht="15" hidden="1" x14ac:dyDescent="0.25">
      <c r="A70" s="125" t="s">
        <v>419</v>
      </c>
      <c r="B70" s="126" t="s">
        <v>420</v>
      </c>
      <c r="C70" s="123">
        <f t="shared" si="3"/>
        <v>0</v>
      </c>
      <c r="D70" s="126"/>
      <c r="E70" s="126">
        <f>SUM(F70:N70)</f>
        <v>0</v>
      </c>
      <c r="F70" s="127"/>
      <c r="G70" s="126"/>
      <c r="H70" s="126"/>
      <c r="I70" s="126"/>
      <c r="J70" s="126"/>
      <c r="K70" s="126"/>
      <c r="L70" s="126"/>
      <c r="M70" s="126"/>
      <c r="N70" s="126"/>
      <c r="O70" s="123">
        <f t="shared" si="5"/>
        <v>0</v>
      </c>
      <c r="P70" s="123">
        <f t="shared" si="6"/>
        <v>0</v>
      </c>
      <c r="Q70" s="123">
        <f t="shared" si="7"/>
        <v>0</v>
      </c>
      <c r="R70" s="126"/>
      <c r="S70" s="126"/>
      <c r="T70" s="126"/>
      <c r="U70" s="123">
        <f t="shared" si="8"/>
        <v>0</v>
      </c>
      <c r="V70" s="126">
        <f>SUM(W70:AE70)</f>
        <v>0</v>
      </c>
      <c r="W70" s="127"/>
      <c r="X70" s="126"/>
      <c r="Y70" s="126"/>
      <c r="Z70" s="126"/>
      <c r="AA70" s="126"/>
      <c r="AB70" s="126"/>
      <c r="AC70" s="126"/>
      <c r="AD70" s="126"/>
      <c r="AE70" s="126"/>
      <c r="AF70" s="126"/>
      <c r="AG70" s="123"/>
      <c r="AH70" s="123"/>
      <c r="AI70" s="123"/>
    </row>
    <row r="71" spans="1:35" s="115" customFormat="1" ht="12" hidden="1" x14ac:dyDescent="0.25">
      <c r="A71" s="117">
        <v>5</v>
      </c>
      <c r="B71" s="123" t="s">
        <v>203</v>
      </c>
      <c r="C71" s="123">
        <f t="shared" si="3"/>
        <v>0</v>
      </c>
      <c r="D71" s="123"/>
      <c r="E71" s="123">
        <f t="shared" ref="E71:AE71" si="13">SUM(E72:E74)</f>
        <v>0</v>
      </c>
      <c r="F71" s="123">
        <f t="shared" si="13"/>
        <v>0</v>
      </c>
      <c r="G71" s="123">
        <f t="shared" si="13"/>
        <v>0</v>
      </c>
      <c r="H71" s="123">
        <f t="shared" si="13"/>
        <v>0</v>
      </c>
      <c r="I71" s="123">
        <f t="shared" si="13"/>
        <v>0</v>
      </c>
      <c r="J71" s="123">
        <f t="shared" si="13"/>
        <v>0</v>
      </c>
      <c r="K71" s="123">
        <f t="shared" si="13"/>
        <v>0</v>
      </c>
      <c r="L71" s="123">
        <f t="shared" si="13"/>
        <v>0</v>
      </c>
      <c r="M71" s="123">
        <f t="shared" si="13"/>
        <v>0</v>
      </c>
      <c r="N71" s="123">
        <f t="shared" si="13"/>
        <v>0</v>
      </c>
      <c r="O71" s="123">
        <f t="shared" si="5"/>
        <v>0</v>
      </c>
      <c r="P71" s="123">
        <f t="shared" si="6"/>
        <v>0</v>
      </c>
      <c r="Q71" s="123">
        <f t="shared" si="7"/>
        <v>0</v>
      </c>
      <c r="R71" s="123"/>
      <c r="S71" s="123"/>
      <c r="T71" s="123"/>
      <c r="U71" s="123">
        <f t="shared" si="8"/>
        <v>0</v>
      </c>
      <c r="V71" s="123">
        <f t="shared" si="13"/>
        <v>0</v>
      </c>
      <c r="W71" s="123">
        <f t="shared" si="13"/>
        <v>0</v>
      </c>
      <c r="X71" s="123">
        <f t="shared" si="13"/>
        <v>0</v>
      </c>
      <c r="Y71" s="123">
        <f t="shared" si="13"/>
        <v>0</v>
      </c>
      <c r="Z71" s="123">
        <f t="shared" si="13"/>
        <v>0</v>
      </c>
      <c r="AA71" s="123">
        <f t="shared" si="13"/>
        <v>0</v>
      </c>
      <c r="AB71" s="123">
        <f t="shared" si="13"/>
        <v>0</v>
      </c>
      <c r="AC71" s="123">
        <f t="shared" si="13"/>
        <v>0</v>
      </c>
      <c r="AD71" s="123">
        <f t="shared" si="13"/>
        <v>0</v>
      </c>
      <c r="AE71" s="123">
        <f t="shared" si="13"/>
        <v>0</v>
      </c>
      <c r="AF71" s="123"/>
      <c r="AG71" s="123"/>
      <c r="AH71" s="123"/>
      <c r="AI71" s="123"/>
    </row>
    <row r="72" spans="1:35" s="115" customFormat="1" ht="15" hidden="1" x14ac:dyDescent="0.25">
      <c r="A72" s="125" t="s">
        <v>421</v>
      </c>
      <c r="B72" s="126" t="s">
        <v>321</v>
      </c>
      <c r="C72" s="123">
        <f t="shared" si="3"/>
        <v>0</v>
      </c>
      <c r="D72" s="126"/>
      <c r="E72" s="126">
        <f>SUM(F72:N72)</f>
        <v>0</v>
      </c>
      <c r="F72" s="127"/>
      <c r="G72" s="126"/>
      <c r="H72" s="126"/>
      <c r="I72" s="126"/>
      <c r="J72" s="126"/>
      <c r="K72" s="126"/>
      <c r="L72" s="126"/>
      <c r="M72" s="126"/>
      <c r="N72" s="126"/>
      <c r="O72" s="123">
        <f t="shared" si="5"/>
        <v>0</v>
      </c>
      <c r="P72" s="123">
        <f t="shared" si="6"/>
        <v>0</v>
      </c>
      <c r="Q72" s="123">
        <f t="shared" si="7"/>
        <v>0</v>
      </c>
      <c r="R72" s="126"/>
      <c r="S72" s="126"/>
      <c r="T72" s="126"/>
      <c r="U72" s="123">
        <f t="shared" si="8"/>
        <v>0</v>
      </c>
      <c r="V72" s="126">
        <f>SUM(W72:AE72)</f>
        <v>0</v>
      </c>
      <c r="W72" s="127"/>
      <c r="X72" s="126"/>
      <c r="Y72" s="126"/>
      <c r="Z72" s="126"/>
      <c r="AA72" s="126"/>
      <c r="AB72" s="126"/>
      <c r="AC72" s="126"/>
      <c r="AD72" s="126"/>
      <c r="AE72" s="126"/>
      <c r="AF72" s="126"/>
      <c r="AG72" s="123"/>
      <c r="AH72" s="123"/>
      <c r="AI72" s="123"/>
    </row>
    <row r="73" spans="1:35" s="115" customFormat="1" ht="15" hidden="1" x14ac:dyDescent="0.25">
      <c r="A73" s="125" t="s">
        <v>422</v>
      </c>
      <c r="B73" s="126" t="s">
        <v>423</v>
      </c>
      <c r="C73" s="123">
        <f t="shared" si="3"/>
        <v>0</v>
      </c>
      <c r="D73" s="126"/>
      <c r="E73" s="126">
        <f>SUM(F73:N73)</f>
        <v>0</v>
      </c>
      <c r="F73" s="127"/>
      <c r="G73" s="126"/>
      <c r="H73" s="126"/>
      <c r="I73" s="126"/>
      <c r="J73" s="126"/>
      <c r="K73" s="126"/>
      <c r="L73" s="126"/>
      <c r="M73" s="126"/>
      <c r="N73" s="126"/>
      <c r="O73" s="123">
        <f t="shared" si="5"/>
        <v>0</v>
      </c>
      <c r="P73" s="123">
        <f t="shared" si="6"/>
        <v>0</v>
      </c>
      <c r="Q73" s="123">
        <f t="shared" si="7"/>
        <v>0</v>
      </c>
      <c r="R73" s="126"/>
      <c r="S73" s="126"/>
      <c r="T73" s="126"/>
      <c r="U73" s="123">
        <f t="shared" si="8"/>
        <v>0</v>
      </c>
      <c r="V73" s="126">
        <f>SUM(W73:AE73)</f>
        <v>0</v>
      </c>
      <c r="W73" s="127"/>
      <c r="X73" s="126"/>
      <c r="Y73" s="126"/>
      <c r="Z73" s="126"/>
      <c r="AA73" s="126"/>
      <c r="AB73" s="126"/>
      <c r="AC73" s="126"/>
      <c r="AD73" s="126"/>
      <c r="AE73" s="126"/>
      <c r="AF73" s="126"/>
      <c r="AG73" s="123"/>
      <c r="AH73" s="123"/>
      <c r="AI73" s="123"/>
    </row>
    <row r="74" spans="1:35" s="115" customFormat="1" ht="15" hidden="1" x14ac:dyDescent="0.25">
      <c r="A74" s="125" t="s">
        <v>424</v>
      </c>
      <c r="B74" s="126" t="s">
        <v>425</v>
      </c>
      <c r="C74" s="123">
        <f t="shared" si="3"/>
        <v>0</v>
      </c>
      <c r="D74" s="126"/>
      <c r="E74" s="126">
        <f>SUM(F74:N74)</f>
        <v>0</v>
      </c>
      <c r="F74" s="127"/>
      <c r="G74" s="126"/>
      <c r="H74" s="126"/>
      <c r="I74" s="126"/>
      <c r="J74" s="126"/>
      <c r="K74" s="126"/>
      <c r="L74" s="126"/>
      <c r="M74" s="126"/>
      <c r="N74" s="126"/>
      <c r="O74" s="123">
        <f t="shared" si="5"/>
        <v>0</v>
      </c>
      <c r="P74" s="123">
        <f t="shared" si="6"/>
        <v>0</v>
      </c>
      <c r="Q74" s="123">
        <f t="shared" si="7"/>
        <v>0</v>
      </c>
      <c r="R74" s="126"/>
      <c r="S74" s="126"/>
      <c r="T74" s="126"/>
      <c r="U74" s="123">
        <f t="shared" si="8"/>
        <v>0</v>
      </c>
      <c r="V74" s="126">
        <f>SUM(W74:AE74)</f>
        <v>0</v>
      </c>
      <c r="W74" s="127"/>
      <c r="X74" s="126"/>
      <c r="Y74" s="126"/>
      <c r="Z74" s="126"/>
      <c r="AA74" s="126"/>
      <c r="AB74" s="126"/>
      <c r="AC74" s="126"/>
      <c r="AD74" s="126"/>
      <c r="AE74" s="126"/>
      <c r="AF74" s="126"/>
      <c r="AG74" s="123"/>
      <c r="AH74" s="123"/>
      <c r="AI74" s="123"/>
    </row>
    <row r="75" spans="1:35" s="115" customFormat="1" ht="12" hidden="1" x14ac:dyDescent="0.25">
      <c r="A75" s="117">
        <v>6</v>
      </c>
      <c r="B75" s="123" t="s">
        <v>426</v>
      </c>
      <c r="C75" s="123">
        <f t="shared" si="3"/>
        <v>0</v>
      </c>
      <c r="D75" s="123"/>
      <c r="E75" s="123">
        <f t="shared" ref="E75:AE75" si="14">SUM(E76:E78)</f>
        <v>0</v>
      </c>
      <c r="F75" s="123">
        <f t="shared" si="14"/>
        <v>0</v>
      </c>
      <c r="G75" s="123">
        <f t="shared" si="14"/>
        <v>0</v>
      </c>
      <c r="H75" s="123">
        <f t="shared" si="14"/>
        <v>0</v>
      </c>
      <c r="I75" s="123">
        <f t="shared" si="14"/>
        <v>0</v>
      </c>
      <c r="J75" s="123">
        <f t="shared" si="14"/>
        <v>0</v>
      </c>
      <c r="K75" s="123">
        <f t="shared" si="14"/>
        <v>0</v>
      </c>
      <c r="L75" s="123">
        <f t="shared" si="14"/>
        <v>0</v>
      </c>
      <c r="M75" s="123">
        <f t="shared" si="14"/>
        <v>0</v>
      </c>
      <c r="N75" s="123">
        <f t="shared" si="14"/>
        <v>0</v>
      </c>
      <c r="O75" s="123">
        <f t="shared" si="5"/>
        <v>0</v>
      </c>
      <c r="P75" s="123">
        <f t="shared" si="6"/>
        <v>0</v>
      </c>
      <c r="Q75" s="123">
        <f t="shared" si="7"/>
        <v>0</v>
      </c>
      <c r="R75" s="123"/>
      <c r="S75" s="123"/>
      <c r="T75" s="123"/>
      <c r="U75" s="123">
        <f t="shared" si="8"/>
        <v>0</v>
      </c>
      <c r="V75" s="123">
        <f t="shared" si="14"/>
        <v>0</v>
      </c>
      <c r="W75" s="123">
        <f t="shared" si="14"/>
        <v>0</v>
      </c>
      <c r="X75" s="123">
        <f t="shared" si="14"/>
        <v>0</v>
      </c>
      <c r="Y75" s="123">
        <f t="shared" si="14"/>
        <v>0</v>
      </c>
      <c r="Z75" s="123">
        <f t="shared" si="14"/>
        <v>0</v>
      </c>
      <c r="AA75" s="123">
        <f t="shared" si="14"/>
        <v>0</v>
      </c>
      <c r="AB75" s="123">
        <f t="shared" si="14"/>
        <v>0</v>
      </c>
      <c r="AC75" s="123">
        <f t="shared" si="14"/>
        <v>0</v>
      </c>
      <c r="AD75" s="123">
        <f t="shared" si="14"/>
        <v>0</v>
      </c>
      <c r="AE75" s="123">
        <f t="shared" si="14"/>
        <v>0</v>
      </c>
      <c r="AF75" s="123"/>
      <c r="AG75" s="123"/>
      <c r="AH75" s="123"/>
      <c r="AI75" s="123"/>
    </row>
    <row r="76" spans="1:35" s="115" customFormat="1" ht="15" hidden="1" x14ac:dyDescent="0.25">
      <c r="A76" s="125" t="s">
        <v>427</v>
      </c>
      <c r="B76" s="126" t="s">
        <v>321</v>
      </c>
      <c r="C76" s="123">
        <f t="shared" si="3"/>
        <v>0</v>
      </c>
      <c r="D76" s="126"/>
      <c r="E76" s="126">
        <f>SUM(F76:N76)</f>
        <v>0</v>
      </c>
      <c r="F76" s="127"/>
      <c r="G76" s="126"/>
      <c r="H76" s="126"/>
      <c r="I76" s="126"/>
      <c r="J76" s="126"/>
      <c r="K76" s="126"/>
      <c r="L76" s="126"/>
      <c r="M76" s="126"/>
      <c r="N76" s="126"/>
      <c r="O76" s="123">
        <f t="shared" si="5"/>
        <v>0</v>
      </c>
      <c r="P76" s="123">
        <f t="shared" si="6"/>
        <v>0</v>
      </c>
      <c r="Q76" s="123">
        <f t="shared" si="7"/>
        <v>0</v>
      </c>
      <c r="R76" s="126"/>
      <c r="S76" s="126"/>
      <c r="T76" s="126"/>
      <c r="U76" s="123">
        <f t="shared" si="8"/>
        <v>0</v>
      </c>
      <c r="V76" s="126">
        <f>SUM(W76:AE76)</f>
        <v>0</v>
      </c>
      <c r="W76" s="127"/>
      <c r="X76" s="126"/>
      <c r="Y76" s="126"/>
      <c r="Z76" s="126"/>
      <c r="AA76" s="126"/>
      <c r="AB76" s="126"/>
      <c r="AC76" s="126"/>
      <c r="AD76" s="126"/>
      <c r="AE76" s="126"/>
      <c r="AF76" s="126"/>
      <c r="AG76" s="123"/>
      <c r="AH76" s="123"/>
      <c r="AI76" s="123"/>
    </row>
    <row r="77" spans="1:35" s="115" customFormat="1" ht="15" hidden="1" x14ac:dyDescent="0.25">
      <c r="A77" s="125" t="s">
        <v>428</v>
      </c>
      <c r="B77" s="126" t="s">
        <v>429</v>
      </c>
      <c r="C77" s="123">
        <f t="shared" si="3"/>
        <v>0</v>
      </c>
      <c r="D77" s="126"/>
      <c r="E77" s="126">
        <f>SUM(F77:N77)</f>
        <v>0</v>
      </c>
      <c r="F77" s="127"/>
      <c r="G77" s="126"/>
      <c r="H77" s="126"/>
      <c r="I77" s="126"/>
      <c r="J77" s="126"/>
      <c r="K77" s="126"/>
      <c r="L77" s="126"/>
      <c r="M77" s="126"/>
      <c r="N77" s="126"/>
      <c r="O77" s="123">
        <f t="shared" si="5"/>
        <v>0</v>
      </c>
      <c r="P77" s="123">
        <f t="shared" si="6"/>
        <v>0</v>
      </c>
      <c r="Q77" s="123">
        <f t="shared" si="7"/>
        <v>0</v>
      </c>
      <c r="R77" s="126"/>
      <c r="S77" s="126"/>
      <c r="T77" s="126"/>
      <c r="U77" s="123">
        <f t="shared" si="8"/>
        <v>0</v>
      </c>
      <c r="V77" s="126">
        <f>SUM(W77:AE77)</f>
        <v>0</v>
      </c>
      <c r="W77" s="127"/>
      <c r="X77" s="126"/>
      <c r="Y77" s="126"/>
      <c r="Z77" s="126"/>
      <c r="AA77" s="126"/>
      <c r="AB77" s="126"/>
      <c r="AC77" s="126"/>
      <c r="AD77" s="126"/>
      <c r="AE77" s="126"/>
      <c r="AF77" s="126"/>
      <c r="AG77" s="123"/>
      <c r="AH77" s="123"/>
      <c r="AI77" s="123"/>
    </row>
    <row r="78" spans="1:35" s="115" customFormat="1" ht="15" hidden="1" x14ac:dyDescent="0.25">
      <c r="A78" s="125" t="s">
        <v>430</v>
      </c>
      <c r="B78" s="126" t="s">
        <v>431</v>
      </c>
      <c r="C78" s="123">
        <f t="shared" si="3"/>
        <v>0</v>
      </c>
      <c r="D78" s="126"/>
      <c r="E78" s="126">
        <f>SUM(F78:N78)</f>
        <v>0</v>
      </c>
      <c r="F78" s="127"/>
      <c r="G78" s="126"/>
      <c r="H78" s="126"/>
      <c r="I78" s="126"/>
      <c r="J78" s="126"/>
      <c r="K78" s="126"/>
      <c r="L78" s="126"/>
      <c r="M78" s="126"/>
      <c r="N78" s="126"/>
      <c r="O78" s="123">
        <f t="shared" si="5"/>
        <v>0</v>
      </c>
      <c r="P78" s="123">
        <f t="shared" si="6"/>
        <v>0</v>
      </c>
      <c r="Q78" s="123">
        <f t="shared" si="7"/>
        <v>0</v>
      </c>
      <c r="R78" s="126"/>
      <c r="S78" s="126"/>
      <c r="T78" s="126"/>
      <c r="U78" s="123">
        <f t="shared" si="8"/>
        <v>0</v>
      </c>
      <c r="V78" s="126">
        <f>SUM(W78:AE78)</f>
        <v>0</v>
      </c>
      <c r="W78" s="127"/>
      <c r="X78" s="126"/>
      <c r="Y78" s="126"/>
      <c r="Z78" s="126"/>
      <c r="AA78" s="126"/>
      <c r="AB78" s="126"/>
      <c r="AC78" s="126"/>
      <c r="AD78" s="126"/>
      <c r="AE78" s="126"/>
      <c r="AF78" s="126"/>
      <c r="AG78" s="123"/>
      <c r="AH78" s="123"/>
      <c r="AI78" s="123"/>
    </row>
    <row r="79" spans="1:35" s="115" customFormat="1" ht="12" hidden="1" x14ac:dyDescent="0.25">
      <c r="A79" s="117">
        <v>7</v>
      </c>
      <c r="B79" s="123" t="s">
        <v>432</v>
      </c>
      <c r="C79" s="123">
        <f t="shared" ref="C79:C142" si="15">D79+E79</f>
        <v>0</v>
      </c>
      <c r="D79" s="123"/>
      <c r="E79" s="123">
        <f t="shared" ref="E79:AE79" si="16">SUM(E80:E80)</f>
        <v>0</v>
      </c>
      <c r="F79" s="123">
        <f t="shared" si="16"/>
        <v>0</v>
      </c>
      <c r="G79" s="123">
        <f t="shared" si="16"/>
        <v>0</v>
      </c>
      <c r="H79" s="123">
        <f t="shared" si="16"/>
        <v>0</v>
      </c>
      <c r="I79" s="123">
        <f t="shared" si="16"/>
        <v>0</v>
      </c>
      <c r="J79" s="123">
        <f t="shared" si="16"/>
        <v>0</v>
      </c>
      <c r="K79" s="123">
        <f t="shared" si="16"/>
        <v>0</v>
      </c>
      <c r="L79" s="123">
        <f t="shared" si="16"/>
        <v>0</v>
      </c>
      <c r="M79" s="123">
        <f t="shared" si="16"/>
        <v>0</v>
      </c>
      <c r="N79" s="123">
        <f t="shared" si="16"/>
        <v>0</v>
      </c>
      <c r="O79" s="123">
        <f t="shared" ref="O79:O142" si="17">P79+Q79</f>
        <v>0</v>
      </c>
      <c r="P79" s="123">
        <f t="shared" ref="P79:P142" si="18">R79</f>
        <v>0</v>
      </c>
      <c r="Q79" s="123">
        <f t="shared" ref="Q79:Q142" si="19">U79</f>
        <v>0</v>
      </c>
      <c r="R79" s="123"/>
      <c r="S79" s="123"/>
      <c r="T79" s="123"/>
      <c r="U79" s="123">
        <f t="shared" ref="U79:U142" si="20">V79+AF79</f>
        <v>0</v>
      </c>
      <c r="V79" s="123">
        <f t="shared" si="16"/>
        <v>0</v>
      </c>
      <c r="W79" s="123">
        <f t="shared" si="16"/>
        <v>0</v>
      </c>
      <c r="X79" s="123">
        <f t="shared" si="16"/>
        <v>0</v>
      </c>
      <c r="Y79" s="123">
        <f t="shared" si="16"/>
        <v>0</v>
      </c>
      <c r="Z79" s="123">
        <f t="shared" si="16"/>
        <v>0</v>
      </c>
      <c r="AA79" s="123">
        <f t="shared" si="16"/>
        <v>0</v>
      </c>
      <c r="AB79" s="123">
        <f t="shared" si="16"/>
        <v>0</v>
      </c>
      <c r="AC79" s="123">
        <f t="shared" si="16"/>
        <v>0</v>
      </c>
      <c r="AD79" s="123">
        <f t="shared" si="16"/>
        <v>0</v>
      </c>
      <c r="AE79" s="123">
        <f t="shared" si="16"/>
        <v>0</v>
      </c>
      <c r="AF79" s="123"/>
      <c r="AG79" s="123"/>
      <c r="AH79" s="123"/>
      <c r="AI79" s="123"/>
    </row>
    <row r="80" spans="1:35" s="115" customFormat="1" ht="15" hidden="1" x14ac:dyDescent="0.25">
      <c r="A80" s="125" t="s">
        <v>433</v>
      </c>
      <c r="B80" s="126" t="s">
        <v>434</v>
      </c>
      <c r="C80" s="123">
        <f t="shared" si="15"/>
        <v>0</v>
      </c>
      <c r="D80" s="126"/>
      <c r="E80" s="126">
        <f>SUM(F80:N80)</f>
        <v>0</v>
      </c>
      <c r="F80" s="127"/>
      <c r="G80" s="126"/>
      <c r="H80" s="126"/>
      <c r="I80" s="126"/>
      <c r="J80" s="126"/>
      <c r="K80" s="126"/>
      <c r="L80" s="126"/>
      <c r="M80" s="126"/>
      <c r="N80" s="126"/>
      <c r="O80" s="123">
        <f t="shared" si="17"/>
        <v>0</v>
      </c>
      <c r="P80" s="123">
        <f t="shared" si="18"/>
        <v>0</v>
      </c>
      <c r="Q80" s="123">
        <f t="shared" si="19"/>
        <v>0</v>
      </c>
      <c r="R80" s="126"/>
      <c r="S80" s="126"/>
      <c r="T80" s="126"/>
      <c r="U80" s="123">
        <f t="shared" si="20"/>
        <v>0</v>
      </c>
      <c r="V80" s="126">
        <f>SUM(W80:AE80)</f>
        <v>0</v>
      </c>
      <c r="W80" s="127"/>
      <c r="X80" s="126"/>
      <c r="Y80" s="126"/>
      <c r="Z80" s="126"/>
      <c r="AA80" s="126"/>
      <c r="AB80" s="126"/>
      <c r="AC80" s="126"/>
      <c r="AD80" s="126"/>
      <c r="AE80" s="126"/>
      <c r="AF80" s="126"/>
      <c r="AG80" s="123"/>
      <c r="AH80" s="123"/>
      <c r="AI80" s="123"/>
    </row>
    <row r="81" spans="1:35" s="115" customFormat="1" ht="12" hidden="1" x14ac:dyDescent="0.25">
      <c r="A81" s="117">
        <v>8</v>
      </c>
      <c r="B81" s="123" t="s">
        <v>207</v>
      </c>
      <c r="C81" s="123">
        <f t="shared" si="15"/>
        <v>0</v>
      </c>
      <c r="D81" s="123"/>
      <c r="E81" s="123">
        <f t="shared" ref="E81:AE81" si="21">SUM(E82:E83)</f>
        <v>0</v>
      </c>
      <c r="F81" s="123">
        <f t="shared" si="21"/>
        <v>0</v>
      </c>
      <c r="G81" s="123">
        <f t="shared" si="21"/>
        <v>0</v>
      </c>
      <c r="H81" s="123">
        <f t="shared" si="21"/>
        <v>0</v>
      </c>
      <c r="I81" s="123">
        <f t="shared" si="21"/>
        <v>0</v>
      </c>
      <c r="J81" s="123">
        <f t="shared" si="21"/>
        <v>0</v>
      </c>
      <c r="K81" s="123">
        <f t="shared" si="21"/>
        <v>0</v>
      </c>
      <c r="L81" s="123">
        <f t="shared" si="21"/>
        <v>0</v>
      </c>
      <c r="M81" s="123">
        <f t="shared" si="21"/>
        <v>0</v>
      </c>
      <c r="N81" s="123">
        <f t="shared" si="21"/>
        <v>0</v>
      </c>
      <c r="O81" s="123">
        <f t="shared" si="17"/>
        <v>0</v>
      </c>
      <c r="P81" s="123">
        <f t="shared" si="18"/>
        <v>0</v>
      </c>
      <c r="Q81" s="123">
        <f t="shared" si="19"/>
        <v>0</v>
      </c>
      <c r="R81" s="123"/>
      <c r="S81" s="123"/>
      <c r="T81" s="123"/>
      <c r="U81" s="123">
        <f t="shared" si="20"/>
        <v>0</v>
      </c>
      <c r="V81" s="123">
        <f t="shared" si="21"/>
        <v>0</v>
      </c>
      <c r="W81" s="123">
        <f t="shared" si="21"/>
        <v>0</v>
      </c>
      <c r="X81" s="123">
        <f t="shared" si="21"/>
        <v>0</v>
      </c>
      <c r="Y81" s="123">
        <f t="shared" si="21"/>
        <v>0</v>
      </c>
      <c r="Z81" s="123">
        <f t="shared" si="21"/>
        <v>0</v>
      </c>
      <c r="AA81" s="123">
        <f t="shared" si="21"/>
        <v>0</v>
      </c>
      <c r="AB81" s="123">
        <f t="shared" si="21"/>
        <v>0</v>
      </c>
      <c r="AC81" s="123">
        <f t="shared" si="21"/>
        <v>0</v>
      </c>
      <c r="AD81" s="123">
        <f t="shared" si="21"/>
        <v>0</v>
      </c>
      <c r="AE81" s="123">
        <f t="shared" si="21"/>
        <v>0</v>
      </c>
      <c r="AF81" s="123"/>
      <c r="AG81" s="123"/>
      <c r="AH81" s="123"/>
      <c r="AI81" s="123"/>
    </row>
    <row r="82" spans="1:35" s="115" customFormat="1" ht="15" hidden="1" x14ac:dyDescent="0.25">
      <c r="A82" s="125" t="s">
        <v>435</v>
      </c>
      <c r="B82" s="126" t="s">
        <v>321</v>
      </c>
      <c r="C82" s="123">
        <f t="shared" si="15"/>
        <v>0</v>
      </c>
      <c r="D82" s="126"/>
      <c r="E82" s="126">
        <f>SUM(F82:N82)</f>
        <v>0</v>
      </c>
      <c r="F82" s="127"/>
      <c r="G82" s="126"/>
      <c r="H82" s="126"/>
      <c r="I82" s="126"/>
      <c r="J82" s="126"/>
      <c r="K82" s="126"/>
      <c r="L82" s="126"/>
      <c r="M82" s="126"/>
      <c r="N82" s="126"/>
      <c r="O82" s="123">
        <f t="shared" si="17"/>
        <v>0</v>
      </c>
      <c r="P82" s="123">
        <f t="shared" si="18"/>
        <v>0</v>
      </c>
      <c r="Q82" s="123">
        <f t="shared" si="19"/>
        <v>0</v>
      </c>
      <c r="R82" s="126"/>
      <c r="S82" s="126"/>
      <c r="T82" s="126"/>
      <c r="U82" s="123">
        <f t="shared" si="20"/>
        <v>0</v>
      </c>
      <c r="V82" s="126">
        <f>SUM(W82:AE82)</f>
        <v>0</v>
      </c>
      <c r="W82" s="127"/>
      <c r="X82" s="126"/>
      <c r="Y82" s="126"/>
      <c r="Z82" s="126"/>
      <c r="AA82" s="126"/>
      <c r="AB82" s="126"/>
      <c r="AC82" s="126"/>
      <c r="AD82" s="126"/>
      <c r="AE82" s="126"/>
      <c r="AF82" s="126"/>
      <c r="AG82" s="123"/>
      <c r="AH82" s="123"/>
      <c r="AI82" s="123"/>
    </row>
    <row r="83" spans="1:35" s="115" customFormat="1" ht="15" hidden="1" x14ac:dyDescent="0.25">
      <c r="A83" s="125" t="s">
        <v>436</v>
      </c>
      <c r="B83" s="126" t="s">
        <v>437</v>
      </c>
      <c r="C83" s="123">
        <f t="shared" si="15"/>
        <v>0</v>
      </c>
      <c r="D83" s="126"/>
      <c r="E83" s="126">
        <f>SUM(F83:N83)</f>
        <v>0</v>
      </c>
      <c r="F83" s="127"/>
      <c r="G83" s="126"/>
      <c r="H83" s="126"/>
      <c r="I83" s="126"/>
      <c r="J83" s="126"/>
      <c r="K83" s="126"/>
      <c r="L83" s="126"/>
      <c r="M83" s="126"/>
      <c r="N83" s="126"/>
      <c r="O83" s="123">
        <f t="shared" si="17"/>
        <v>0</v>
      </c>
      <c r="P83" s="123">
        <f t="shared" si="18"/>
        <v>0</v>
      </c>
      <c r="Q83" s="123">
        <f t="shared" si="19"/>
        <v>0</v>
      </c>
      <c r="R83" s="126"/>
      <c r="S83" s="126"/>
      <c r="T83" s="126"/>
      <c r="U83" s="123">
        <f t="shared" si="20"/>
        <v>0</v>
      </c>
      <c r="V83" s="126">
        <f>SUM(W83:AE83)</f>
        <v>0</v>
      </c>
      <c r="W83" s="127"/>
      <c r="X83" s="126"/>
      <c r="Y83" s="126"/>
      <c r="Z83" s="126"/>
      <c r="AA83" s="126"/>
      <c r="AB83" s="126"/>
      <c r="AC83" s="126"/>
      <c r="AD83" s="126"/>
      <c r="AE83" s="126"/>
      <c r="AF83" s="126"/>
      <c r="AG83" s="123"/>
      <c r="AH83" s="123"/>
      <c r="AI83" s="123"/>
    </row>
    <row r="84" spans="1:35" s="115" customFormat="1" ht="12" hidden="1" x14ac:dyDescent="0.25">
      <c r="A84" s="117">
        <v>9</v>
      </c>
      <c r="B84" s="123" t="s">
        <v>438</v>
      </c>
      <c r="C84" s="123">
        <f t="shared" si="15"/>
        <v>0</v>
      </c>
      <c r="D84" s="123"/>
      <c r="E84" s="123">
        <f t="shared" ref="E84:AE84" si="22">SUM(E85:E87)</f>
        <v>0</v>
      </c>
      <c r="F84" s="123">
        <f t="shared" si="22"/>
        <v>0</v>
      </c>
      <c r="G84" s="123">
        <f t="shared" si="22"/>
        <v>0</v>
      </c>
      <c r="H84" s="123">
        <f t="shared" si="22"/>
        <v>0</v>
      </c>
      <c r="I84" s="123">
        <f t="shared" si="22"/>
        <v>0</v>
      </c>
      <c r="J84" s="123">
        <f t="shared" si="22"/>
        <v>0</v>
      </c>
      <c r="K84" s="123">
        <f t="shared" si="22"/>
        <v>0</v>
      </c>
      <c r="L84" s="123">
        <f t="shared" si="22"/>
        <v>0</v>
      </c>
      <c r="M84" s="123">
        <f t="shared" si="22"/>
        <v>0</v>
      </c>
      <c r="N84" s="123">
        <f t="shared" si="22"/>
        <v>0</v>
      </c>
      <c r="O84" s="123">
        <f t="shared" si="17"/>
        <v>0</v>
      </c>
      <c r="P84" s="123">
        <f t="shared" si="18"/>
        <v>0</v>
      </c>
      <c r="Q84" s="123">
        <f t="shared" si="19"/>
        <v>0</v>
      </c>
      <c r="R84" s="123"/>
      <c r="S84" s="123"/>
      <c r="T84" s="123"/>
      <c r="U84" s="123">
        <f t="shared" si="20"/>
        <v>0</v>
      </c>
      <c r="V84" s="123">
        <f t="shared" si="22"/>
        <v>0</v>
      </c>
      <c r="W84" s="123">
        <f t="shared" si="22"/>
        <v>0</v>
      </c>
      <c r="X84" s="123">
        <f t="shared" si="22"/>
        <v>0</v>
      </c>
      <c r="Y84" s="123">
        <f t="shared" si="22"/>
        <v>0</v>
      </c>
      <c r="Z84" s="123">
        <f t="shared" si="22"/>
        <v>0</v>
      </c>
      <c r="AA84" s="123">
        <f t="shared" si="22"/>
        <v>0</v>
      </c>
      <c r="AB84" s="123">
        <f t="shared" si="22"/>
        <v>0</v>
      </c>
      <c r="AC84" s="123">
        <f t="shared" si="22"/>
        <v>0</v>
      </c>
      <c r="AD84" s="123">
        <f t="shared" si="22"/>
        <v>0</v>
      </c>
      <c r="AE84" s="123">
        <f t="shared" si="22"/>
        <v>0</v>
      </c>
      <c r="AF84" s="123"/>
      <c r="AG84" s="123"/>
      <c r="AH84" s="123"/>
      <c r="AI84" s="123"/>
    </row>
    <row r="85" spans="1:35" s="115" customFormat="1" ht="15" hidden="1" x14ac:dyDescent="0.25">
      <c r="A85" s="125" t="s">
        <v>439</v>
      </c>
      <c r="B85" s="126" t="s">
        <v>321</v>
      </c>
      <c r="C85" s="123">
        <f t="shared" si="15"/>
        <v>0</v>
      </c>
      <c r="D85" s="126"/>
      <c r="E85" s="126">
        <f>SUM(F85:N85)</f>
        <v>0</v>
      </c>
      <c r="F85" s="127"/>
      <c r="G85" s="126"/>
      <c r="H85" s="126"/>
      <c r="I85" s="126"/>
      <c r="J85" s="126"/>
      <c r="K85" s="126"/>
      <c r="L85" s="126"/>
      <c r="M85" s="126"/>
      <c r="N85" s="126"/>
      <c r="O85" s="123">
        <f t="shared" si="17"/>
        <v>0</v>
      </c>
      <c r="P85" s="123">
        <f t="shared" si="18"/>
        <v>0</v>
      </c>
      <c r="Q85" s="123">
        <f t="shared" si="19"/>
        <v>0</v>
      </c>
      <c r="R85" s="126"/>
      <c r="S85" s="126"/>
      <c r="T85" s="126"/>
      <c r="U85" s="123">
        <f t="shared" si="20"/>
        <v>0</v>
      </c>
      <c r="V85" s="126">
        <f>SUM(W85:AE85)</f>
        <v>0</v>
      </c>
      <c r="W85" s="127"/>
      <c r="X85" s="126"/>
      <c r="Y85" s="126"/>
      <c r="Z85" s="126"/>
      <c r="AA85" s="126"/>
      <c r="AB85" s="126"/>
      <c r="AC85" s="126"/>
      <c r="AD85" s="126"/>
      <c r="AE85" s="126"/>
      <c r="AF85" s="126"/>
      <c r="AG85" s="123"/>
      <c r="AH85" s="123"/>
      <c r="AI85" s="123"/>
    </row>
    <row r="86" spans="1:35" s="115" customFormat="1" ht="15" hidden="1" x14ac:dyDescent="0.25">
      <c r="A86" s="125" t="s">
        <v>440</v>
      </c>
      <c r="B86" s="126" t="s">
        <v>441</v>
      </c>
      <c r="C86" s="123">
        <f t="shared" si="15"/>
        <v>0</v>
      </c>
      <c r="D86" s="126"/>
      <c r="E86" s="126">
        <f>SUM(F86:N86)</f>
        <v>0</v>
      </c>
      <c r="F86" s="127"/>
      <c r="G86" s="126"/>
      <c r="H86" s="126"/>
      <c r="I86" s="126"/>
      <c r="J86" s="126"/>
      <c r="K86" s="126"/>
      <c r="L86" s="126"/>
      <c r="M86" s="126"/>
      <c r="N86" s="126"/>
      <c r="O86" s="123">
        <f t="shared" si="17"/>
        <v>0</v>
      </c>
      <c r="P86" s="123">
        <f t="shared" si="18"/>
        <v>0</v>
      </c>
      <c r="Q86" s="123">
        <f t="shared" si="19"/>
        <v>0</v>
      </c>
      <c r="R86" s="126"/>
      <c r="S86" s="126"/>
      <c r="T86" s="126"/>
      <c r="U86" s="123">
        <f t="shared" si="20"/>
        <v>0</v>
      </c>
      <c r="V86" s="126">
        <f>SUM(W86:AE86)</f>
        <v>0</v>
      </c>
      <c r="W86" s="127"/>
      <c r="X86" s="126"/>
      <c r="Y86" s="126"/>
      <c r="Z86" s="126"/>
      <c r="AA86" s="126"/>
      <c r="AB86" s="126"/>
      <c r="AC86" s="126"/>
      <c r="AD86" s="126"/>
      <c r="AE86" s="126"/>
      <c r="AF86" s="126"/>
      <c r="AG86" s="123"/>
      <c r="AH86" s="123"/>
      <c r="AI86" s="123"/>
    </row>
    <row r="87" spans="1:35" s="115" customFormat="1" ht="15" hidden="1" x14ac:dyDescent="0.25">
      <c r="A87" s="125" t="s">
        <v>442</v>
      </c>
      <c r="B87" s="126" t="s">
        <v>443</v>
      </c>
      <c r="C87" s="123">
        <f t="shared" si="15"/>
        <v>0</v>
      </c>
      <c r="D87" s="126"/>
      <c r="E87" s="126">
        <f>SUM(F87:N87)</f>
        <v>0</v>
      </c>
      <c r="F87" s="127"/>
      <c r="G87" s="126"/>
      <c r="H87" s="126"/>
      <c r="I87" s="126"/>
      <c r="J87" s="126"/>
      <c r="K87" s="126"/>
      <c r="L87" s="126"/>
      <c r="M87" s="126"/>
      <c r="N87" s="126"/>
      <c r="O87" s="123">
        <f t="shared" si="17"/>
        <v>0</v>
      </c>
      <c r="P87" s="123">
        <f t="shared" si="18"/>
        <v>0</v>
      </c>
      <c r="Q87" s="123">
        <f t="shared" si="19"/>
        <v>0</v>
      </c>
      <c r="R87" s="126"/>
      <c r="S87" s="126"/>
      <c r="T87" s="126"/>
      <c r="U87" s="123">
        <f t="shared" si="20"/>
        <v>0</v>
      </c>
      <c r="V87" s="126">
        <f>SUM(W87:AE87)</f>
        <v>0</v>
      </c>
      <c r="W87" s="127"/>
      <c r="X87" s="126"/>
      <c r="Y87" s="126"/>
      <c r="Z87" s="126"/>
      <c r="AA87" s="126"/>
      <c r="AB87" s="126"/>
      <c r="AC87" s="126"/>
      <c r="AD87" s="126"/>
      <c r="AE87" s="126"/>
      <c r="AF87" s="126"/>
      <c r="AG87" s="123"/>
      <c r="AH87" s="123"/>
      <c r="AI87" s="123"/>
    </row>
    <row r="88" spans="1:35" s="115" customFormat="1" ht="24" hidden="1" x14ac:dyDescent="0.25">
      <c r="A88" s="117">
        <v>10</v>
      </c>
      <c r="B88" s="123" t="s">
        <v>444</v>
      </c>
      <c r="C88" s="123">
        <f t="shared" si="15"/>
        <v>0</v>
      </c>
      <c r="D88" s="123"/>
      <c r="E88" s="123">
        <f t="shared" ref="E88:AE88" si="23">SUM(E89:E94)</f>
        <v>0</v>
      </c>
      <c r="F88" s="123">
        <f t="shared" si="23"/>
        <v>0</v>
      </c>
      <c r="G88" s="123">
        <f t="shared" si="23"/>
        <v>0</v>
      </c>
      <c r="H88" s="123">
        <f t="shared" si="23"/>
        <v>0</v>
      </c>
      <c r="I88" s="123">
        <f t="shared" si="23"/>
        <v>0</v>
      </c>
      <c r="J88" s="123">
        <f t="shared" si="23"/>
        <v>0</v>
      </c>
      <c r="K88" s="123">
        <f t="shared" si="23"/>
        <v>0</v>
      </c>
      <c r="L88" s="123">
        <f t="shared" si="23"/>
        <v>0</v>
      </c>
      <c r="M88" s="123">
        <f t="shared" si="23"/>
        <v>0</v>
      </c>
      <c r="N88" s="123">
        <f t="shared" si="23"/>
        <v>0</v>
      </c>
      <c r="O88" s="123">
        <f t="shared" si="17"/>
        <v>0</v>
      </c>
      <c r="P88" s="123">
        <f t="shared" si="18"/>
        <v>0</v>
      </c>
      <c r="Q88" s="123">
        <f t="shared" si="19"/>
        <v>0</v>
      </c>
      <c r="R88" s="123"/>
      <c r="S88" s="123"/>
      <c r="T88" s="123"/>
      <c r="U88" s="123">
        <f t="shared" si="20"/>
        <v>0</v>
      </c>
      <c r="V88" s="123">
        <f t="shared" si="23"/>
        <v>0</v>
      </c>
      <c r="W88" s="123">
        <f t="shared" si="23"/>
        <v>0</v>
      </c>
      <c r="X88" s="123">
        <f t="shared" si="23"/>
        <v>0</v>
      </c>
      <c r="Y88" s="123">
        <f t="shared" si="23"/>
        <v>0</v>
      </c>
      <c r="Z88" s="123">
        <f t="shared" si="23"/>
        <v>0</v>
      </c>
      <c r="AA88" s="123">
        <f t="shared" si="23"/>
        <v>0</v>
      </c>
      <c r="AB88" s="123">
        <f t="shared" si="23"/>
        <v>0</v>
      </c>
      <c r="AC88" s="123">
        <f t="shared" si="23"/>
        <v>0</v>
      </c>
      <c r="AD88" s="123">
        <f t="shared" si="23"/>
        <v>0</v>
      </c>
      <c r="AE88" s="123">
        <f t="shared" si="23"/>
        <v>0</v>
      </c>
      <c r="AF88" s="123"/>
      <c r="AG88" s="123"/>
      <c r="AH88" s="123"/>
      <c r="AI88" s="123"/>
    </row>
    <row r="89" spans="1:35" s="115" customFormat="1" ht="24" hidden="1" x14ac:dyDescent="0.25">
      <c r="A89" s="125" t="s">
        <v>445</v>
      </c>
      <c r="B89" s="126" t="s">
        <v>321</v>
      </c>
      <c r="C89" s="123">
        <f t="shared" si="15"/>
        <v>0</v>
      </c>
      <c r="D89" s="126"/>
      <c r="E89" s="126">
        <f t="shared" ref="E89:E94" si="24">SUM(F89:N89)</f>
        <v>0</v>
      </c>
      <c r="F89" s="127"/>
      <c r="G89" s="126"/>
      <c r="H89" s="126"/>
      <c r="I89" s="126"/>
      <c r="J89" s="126"/>
      <c r="K89" s="126"/>
      <c r="L89" s="126"/>
      <c r="M89" s="126"/>
      <c r="N89" s="126"/>
      <c r="O89" s="123">
        <f t="shared" si="17"/>
        <v>0</v>
      </c>
      <c r="P89" s="123">
        <f t="shared" si="18"/>
        <v>0</v>
      </c>
      <c r="Q89" s="123">
        <f t="shared" si="19"/>
        <v>0</v>
      </c>
      <c r="R89" s="126"/>
      <c r="S89" s="126"/>
      <c r="T89" s="126"/>
      <c r="U89" s="123">
        <f t="shared" si="20"/>
        <v>0</v>
      </c>
      <c r="V89" s="126">
        <f t="shared" ref="V89:V94" si="25">SUM(W89:AE89)</f>
        <v>0</v>
      </c>
      <c r="W89" s="127"/>
      <c r="X89" s="126"/>
      <c r="Y89" s="126"/>
      <c r="Z89" s="126"/>
      <c r="AA89" s="126"/>
      <c r="AB89" s="126"/>
      <c r="AC89" s="126"/>
      <c r="AD89" s="126"/>
      <c r="AE89" s="126"/>
      <c r="AF89" s="126"/>
      <c r="AG89" s="123"/>
      <c r="AH89" s="123"/>
      <c r="AI89" s="123"/>
    </row>
    <row r="90" spans="1:35" s="115" customFormat="1" ht="24" hidden="1" x14ac:dyDescent="0.25">
      <c r="A90" s="125" t="s">
        <v>446</v>
      </c>
      <c r="B90" s="126" t="s">
        <v>447</v>
      </c>
      <c r="C90" s="123">
        <f t="shared" si="15"/>
        <v>0</v>
      </c>
      <c r="D90" s="126"/>
      <c r="E90" s="126">
        <f t="shared" si="24"/>
        <v>0</v>
      </c>
      <c r="F90" s="127"/>
      <c r="G90" s="126"/>
      <c r="H90" s="126"/>
      <c r="I90" s="126"/>
      <c r="J90" s="126"/>
      <c r="K90" s="126"/>
      <c r="L90" s="126"/>
      <c r="M90" s="126"/>
      <c r="N90" s="126"/>
      <c r="O90" s="123">
        <f t="shared" si="17"/>
        <v>0</v>
      </c>
      <c r="P90" s="123">
        <f t="shared" si="18"/>
        <v>0</v>
      </c>
      <c r="Q90" s="123">
        <f t="shared" si="19"/>
        <v>0</v>
      </c>
      <c r="R90" s="126"/>
      <c r="S90" s="126"/>
      <c r="T90" s="126"/>
      <c r="U90" s="123">
        <f t="shared" si="20"/>
        <v>0</v>
      </c>
      <c r="V90" s="126">
        <f t="shared" si="25"/>
        <v>0</v>
      </c>
      <c r="W90" s="127"/>
      <c r="X90" s="126"/>
      <c r="Y90" s="126"/>
      <c r="Z90" s="126"/>
      <c r="AA90" s="126"/>
      <c r="AB90" s="126"/>
      <c r="AC90" s="126"/>
      <c r="AD90" s="126"/>
      <c r="AE90" s="126"/>
      <c r="AF90" s="126"/>
      <c r="AG90" s="123"/>
      <c r="AH90" s="123"/>
      <c r="AI90" s="123"/>
    </row>
    <row r="91" spans="1:35" s="115" customFormat="1" ht="24" hidden="1" x14ac:dyDescent="0.25">
      <c r="A91" s="125" t="s">
        <v>448</v>
      </c>
      <c r="B91" s="126" t="s">
        <v>449</v>
      </c>
      <c r="C91" s="123">
        <f t="shared" si="15"/>
        <v>0</v>
      </c>
      <c r="D91" s="126"/>
      <c r="E91" s="126">
        <f t="shared" si="24"/>
        <v>0</v>
      </c>
      <c r="F91" s="127"/>
      <c r="G91" s="126"/>
      <c r="H91" s="126"/>
      <c r="I91" s="126"/>
      <c r="J91" s="126"/>
      <c r="K91" s="126"/>
      <c r="L91" s="126"/>
      <c r="M91" s="126"/>
      <c r="N91" s="126"/>
      <c r="O91" s="123">
        <f t="shared" si="17"/>
        <v>0</v>
      </c>
      <c r="P91" s="123">
        <f t="shared" si="18"/>
        <v>0</v>
      </c>
      <c r="Q91" s="123">
        <f t="shared" si="19"/>
        <v>0</v>
      </c>
      <c r="R91" s="126"/>
      <c r="S91" s="126"/>
      <c r="T91" s="126"/>
      <c r="U91" s="123">
        <f t="shared" si="20"/>
        <v>0</v>
      </c>
      <c r="V91" s="126">
        <f t="shared" si="25"/>
        <v>0</v>
      </c>
      <c r="W91" s="127"/>
      <c r="X91" s="126"/>
      <c r="Y91" s="126"/>
      <c r="Z91" s="126"/>
      <c r="AA91" s="126"/>
      <c r="AB91" s="126"/>
      <c r="AC91" s="126"/>
      <c r="AD91" s="126"/>
      <c r="AE91" s="126"/>
      <c r="AF91" s="126"/>
      <c r="AG91" s="123"/>
      <c r="AH91" s="123"/>
      <c r="AI91" s="123"/>
    </row>
    <row r="92" spans="1:35" s="115" customFormat="1" ht="24" hidden="1" x14ac:dyDescent="0.25">
      <c r="A92" s="125" t="s">
        <v>450</v>
      </c>
      <c r="B92" s="126" t="s">
        <v>451</v>
      </c>
      <c r="C92" s="123">
        <f t="shared" si="15"/>
        <v>0</v>
      </c>
      <c r="D92" s="126"/>
      <c r="E92" s="126">
        <f t="shared" si="24"/>
        <v>0</v>
      </c>
      <c r="F92" s="127"/>
      <c r="G92" s="126"/>
      <c r="H92" s="126"/>
      <c r="I92" s="126"/>
      <c r="J92" s="126"/>
      <c r="K92" s="126"/>
      <c r="L92" s="126"/>
      <c r="M92" s="126"/>
      <c r="N92" s="126"/>
      <c r="O92" s="123">
        <f t="shared" si="17"/>
        <v>0</v>
      </c>
      <c r="P92" s="123">
        <f t="shared" si="18"/>
        <v>0</v>
      </c>
      <c r="Q92" s="123">
        <f t="shared" si="19"/>
        <v>0</v>
      </c>
      <c r="R92" s="126"/>
      <c r="S92" s="126"/>
      <c r="T92" s="126"/>
      <c r="U92" s="123">
        <f t="shared" si="20"/>
        <v>0</v>
      </c>
      <c r="V92" s="126">
        <f t="shared" si="25"/>
        <v>0</v>
      </c>
      <c r="W92" s="127"/>
      <c r="X92" s="126"/>
      <c r="Y92" s="126"/>
      <c r="Z92" s="126"/>
      <c r="AA92" s="126"/>
      <c r="AB92" s="126"/>
      <c r="AC92" s="126"/>
      <c r="AD92" s="126"/>
      <c r="AE92" s="126"/>
      <c r="AF92" s="126"/>
      <c r="AG92" s="123"/>
      <c r="AH92" s="123"/>
      <c r="AI92" s="123"/>
    </row>
    <row r="93" spans="1:35" s="115" customFormat="1" ht="24" hidden="1" x14ac:dyDescent="0.25">
      <c r="A93" s="125" t="s">
        <v>452</v>
      </c>
      <c r="B93" s="126" t="s">
        <v>453</v>
      </c>
      <c r="C93" s="123">
        <f t="shared" si="15"/>
        <v>0</v>
      </c>
      <c r="D93" s="126"/>
      <c r="E93" s="126">
        <f t="shared" si="24"/>
        <v>0</v>
      </c>
      <c r="F93" s="127"/>
      <c r="G93" s="126"/>
      <c r="H93" s="126"/>
      <c r="I93" s="126"/>
      <c r="J93" s="126"/>
      <c r="K93" s="126"/>
      <c r="L93" s="126"/>
      <c r="M93" s="126"/>
      <c r="N93" s="126"/>
      <c r="O93" s="123">
        <f t="shared" si="17"/>
        <v>0</v>
      </c>
      <c r="P93" s="123">
        <f t="shared" si="18"/>
        <v>0</v>
      </c>
      <c r="Q93" s="123">
        <f t="shared" si="19"/>
        <v>0</v>
      </c>
      <c r="R93" s="126"/>
      <c r="S93" s="126"/>
      <c r="T93" s="126"/>
      <c r="U93" s="123">
        <f t="shared" si="20"/>
        <v>0</v>
      </c>
      <c r="V93" s="126">
        <f t="shared" si="25"/>
        <v>0</v>
      </c>
      <c r="W93" s="127"/>
      <c r="X93" s="126"/>
      <c r="Y93" s="126"/>
      <c r="Z93" s="126"/>
      <c r="AA93" s="126"/>
      <c r="AB93" s="126"/>
      <c r="AC93" s="126"/>
      <c r="AD93" s="126"/>
      <c r="AE93" s="126"/>
      <c r="AF93" s="126"/>
      <c r="AG93" s="123"/>
      <c r="AH93" s="123"/>
      <c r="AI93" s="123"/>
    </row>
    <row r="94" spans="1:35" s="115" customFormat="1" ht="24" hidden="1" x14ac:dyDescent="0.25">
      <c r="A94" s="125" t="s">
        <v>454</v>
      </c>
      <c r="B94" s="126" t="s">
        <v>598</v>
      </c>
      <c r="C94" s="123">
        <f t="shared" si="15"/>
        <v>0</v>
      </c>
      <c r="D94" s="126"/>
      <c r="E94" s="126">
        <f t="shared" si="24"/>
        <v>0</v>
      </c>
      <c r="F94" s="127"/>
      <c r="G94" s="126"/>
      <c r="H94" s="126"/>
      <c r="I94" s="126"/>
      <c r="J94" s="126"/>
      <c r="K94" s="126"/>
      <c r="L94" s="126"/>
      <c r="M94" s="126"/>
      <c r="N94" s="126"/>
      <c r="O94" s="123">
        <f t="shared" si="17"/>
        <v>0</v>
      </c>
      <c r="P94" s="123">
        <f t="shared" si="18"/>
        <v>0</v>
      </c>
      <c r="Q94" s="123">
        <f t="shared" si="19"/>
        <v>0</v>
      </c>
      <c r="R94" s="126"/>
      <c r="S94" s="126"/>
      <c r="T94" s="126"/>
      <c r="U94" s="123">
        <f t="shared" si="20"/>
        <v>0</v>
      </c>
      <c r="V94" s="126">
        <f t="shared" si="25"/>
        <v>0</v>
      </c>
      <c r="W94" s="127"/>
      <c r="X94" s="126"/>
      <c r="Y94" s="126"/>
      <c r="Z94" s="126"/>
      <c r="AA94" s="126"/>
      <c r="AB94" s="126"/>
      <c r="AC94" s="126"/>
      <c r="AD94" s="126"/>
      <c r="AE94" s="126"/>
      <c r="AF94" s="126"/>
      <c r="AG94" s="123"/>
      <c r="AH94" s="123"/>
      <c r="AI94" s="123"/>
    </row>
    <row r="95" spans="1:35" s="115" customFormat="1" ht="25.5" customHeight="1" x14ac:dyDescent="0.25">
      <c r="A95" s="117">
        <v>2</v>
      </c>
      <c r="B95" s="123" t="s">
        <v>455</v>
      </c>
      <c r="C95" s="123">
        <f t="shared" si="15"/>
        <v>7</v>
      </c>
      <c r="D95" s="123"/>
      <c r="E95" s="123">
        <v>7</v>
      </c>
      <c r="F95" s="123">
        <f t="shared" ref="F95:AE95" si="26">SUM(F96:F123)</f>
        <v>0</v>
      </c>
      <c r="G95" s="123">
        <f t="shared" si="26"/>
        <v>0</v>
      </c>
      <c r="H95" s="123">
        <f t="shared" si="26"/>
        <v>0</v>
      </c>
      <c r="I95" s="123">
        <f t="shared" si="26"/>
        <v>0</v>
      </c>
      <c r="J95" s="123">
        <f t="shared" si="26"/>
        <v>0</v>
      </c>
      <c r="K95" s="123">
        <f t="shared" si="26"/>
        <v>0</v>
      </c>
      <c r="L95" s="123">
        <f t="shared" si="26"/>
        <v>2007</v>
      </c>
      <c r="M95" s="123">
        <f t="shared" si="26"/>
        <v>0</v>
      </c>
      <c r="N95" s="123">
        <f t="shared" si="26"/>
        <v>0</v>
      </c>
      <c r="O95" s="123">
        <f t="shared" si="17"/>
        <v>2001</v>
      </c>
      <c r="P95" s="123">
        <f t="shared" si="18"/>
        <v>0</v>
      </c>
      <c r="Q95" s="123">
        <f t="shared" si="19"/>
        <v>2001</v>
      </c>
      <c r="R95" s="123"/>
      <c r="S95" s="123"/>
      <c r="T95" s="123"/>
      <c r="U95" s="123">
        <f t="shared" si="20"/>
        <v>2001</v>
      </c>
      <c r="V95" s="123">
        <v>2001</v>
      </c>
      <c r="W95" s="123">
        <f t="shared" si="26"/>
        <v>0</v>
      </c>
      <c r="X95" s="123">
        <f t="shared" si="26"/>
        <v>0</v>
      </c>
      <c r="Y95" s="123">
        <f t="shared" si="26"/>
        <v>0</v>
      </c>
      <c r="Z95" s="123">
        <f t="shared" si="26"/>
        <v>0</v>
      </c>
      <c r="AA95" s="123">
        <f t="shared" si="26"/>
        <v>0</v>
      </c>
      <c r="AB95" s="123">
        <f t="shared" si="26"/>
        <v>0</v>
      </c>
      <c r="AC95" s="123">
        <f t="shared" si="26"/>
        <v>7</v>
      </c>
      <c r="AD95" s="123">
        <f t="shared" si="26"/>
        <v>0</v>
      </c>
      <c r="AE95" s="123">
        <f t="shared" si="26"/>
        <v>0</v>
      </c>
      <c r="AF95" s="123"/>
      <c r="AG95" s="123"/>
      <c r="AH95" s="123"/>
      <c r="AI95" s="123"/>
    </row>
    <row r="96" spans="1:35" s="115" customFormat="1" ht="15" hidden="1" x14ac:dyDescent="0.25">
      <c r="A96" s="125" t="s">
        <v>313</v>
      </c>
      <c r="B96" s="126" t="s">
        <v>321</v>
      </c>
      <c r="C96" s="123">
        <f t="shared" si="15"/>
        <v>2007</v>
      </c>
      <c r="D96" s="126"/>
      <c r="E96" s="126">
        <f t="shared" ref="E96:E123" si="27">SUM(F96:N96)</f>
        <v>2007</v>
      </c>
      <c r="F96" s="127"/>
      <c r="G96" s="126"/>
      <c r="H96" s="126"/>
      <c r="I96" s="126"/>
      <c r="J96" s="126"/>
      <c r="K96" s="126"/>
      <c r="L96" s="126">
        <v>2007</v>
      </c>
      <c r="M96" s="126"/>
      <c r="N96" s="126"/>
      <c r="O96" s="123">
        <f t="shared" si="17"/>
        <v>7</v>
      </c>
      <c r="P96" s="123">
        <f t="shared" si="18"/>
        <v>0</v>
      </c>
      <c r="Q96" s="123">
        <f t="shared" si="19"/>
        <v>7</v>
      </c>
      <c r="R96" s="126"/>
      <c r="S96" s="126"/>
      <c r="T96" s="126"/>
      <c r="U96" s="123">
        <f t="shared" si="20"/>
        <v>7</v>
      </c>
      <c r="V96" s="126">
        <f t="shared" ref="V96:V123" si="28">SUM(W96:AE96)</f>
        <v>7</v>
      </c>
      <c r="W96" s="127"/>
      <c r="X96" s="126"/>
      <c r="Y96" s="126"/>
      <c r="Z96" s="126"/>
      <c r="AA96" s="126"/>
      <c r="AB96" s="126"/>
      <c r="AC96" s="126">
        <v>7</v>
      </c>
      <c r="AD96" s="126"/>
      <c r="AE96" s="126"/>
      <c r="AF96" s="126"/>
      <c r="AG96" s="123"/>
      <c r="AH96" s="123"/>
      <c r="AI96" s="123"/>
    </row>
    <row r="97" spans="1:35" s="115" customFormat="1" ht="24" hidden="1" x14ac:dyDescent="0.25">
      <c r="A97" s="125" t="s">
        <v>456</v>
      </c>
      <c r="B97" s="126" t="s">
        <v>457</v>
      </c>
      <c r="C97" s="123">
        <f t="shared" si="15"/>
        <v>0</v>
      </c>
      <c r="D97" s="126"/>
      <c r="E97" s="126">
        <f t="shared" si="27"/>
        <v>0</v>
      </c>
      <c r="F97" s="127"/>
      <c r="G97" s="126"/>
      <c r="H97" s="126"/>
      <c r="I97" s="126"/>
      <c r="J97" s="126"/>
      <c r="K97" s="126"/>
      <c r="L97" s="126"/>
      <c r="M97" s="126"/>
      <c r="N97" s="126"/>
      <c r="O97" s="123">
        <f t="shared" si="17"/>
        <v>0</v>
      </c>
      <c r="P97" s="123">
        <f t="shared" si="18"/>
        <v>0</v>
      </c>
      <c r="Q97" s="123">
        <f t="shared" si="19"/>
        <v>0</v>
      </c>
      <c r="R97" s="126"/>
      <c r="S97" s="126"/>
      <c r="T97" s="126"/>
      <c r="U97" s="123">
        <f t="shared" si="20"/>
        <v>0</v>
      </c>
      <c r="V97" s="126">
        <f t="shared" si="28"/>
        <v>0</v>
      </c>
      <c r="W97" s="127"/>
      <c r="X97" s="126"/>
      <c r="Y97" s="126"/>
      <c r="Z97" s="126"/>
      <c r="AA97" s="126"/>
      <c r="AB97" s="126"/>
      <c r="AC97" s="126"/>
      <c r="AD97" s="126"/>
      <c r="AE97" s="126"/>
      <c r="AF97" s="126"/>
      <c r="AG97" s="123"/>
      <c r="AH97" s="123"/>
      <c r="AI97" s="123"/>
    </row>
    <row r="98" spans="1:35" s="115" customFormat="1" ht="24" hidden="1" x14ac:dyDescent="0.25">
      <c r="A98" s="125" t="s">
        <v>458</v>
      </c>
      <c r="B98" s="126" t="s">
        <v>459</v>
      </c>
      <c r="C98" s="123">
        <f t="shared" si="15"/>
        <v>0</v>
      </c>
      <c r="D98" s="126"/>
      <c r="E98" s="126">
        <f t="shared" si="27"/>
        <v>0</v>
      </c>
      <c r="F98" s="127"/>
      <c r="G98" s="126"/>
      <c r="H98" s="126"/>
      <c r="I98" s="126"/>
      <c r="J98" s="126"/>
      <c r="K98" s="126"/>
      <c r="L98" s="126"/>
      <c r="M98" s="126"/>
      <c r="N98" s="126"/>
      <c r="O98" s="123">
        <f t="shared" si="17"/>
        <v>0</v>
      </c>
      <c r="P98" s="123">
        <f t="shared" si="18"/>
        <v>0</v>
      </c>
      <c r="Q98" s="123">
        <f t="shared" si="19"/>
        <v>0</v>
      </c>
      <c r="R98" s="126"/>
      <c r="S98" s="126"/>
      <c r="T98" s="126"/>
      <c r="U98" s="123">
        <f t="shared" si="20"/>
        <v>0</v>
      </c>
      <c r="V98" s="126">
        <f t="shared" si="28"/>
        <v>0</v>
      </c>
      <c r="W98" s="127"/>
      <c r="X98" s="126"/>
      <c r="Y98" s="126"/>
      <c r="Z98" s="126"/>
      <c r="AA98" s="126"/>
      <c r="AB98" s="126"/>
      <c r="AC98" s="126"/>
      <c r="AD98" s="126"/>
      <c r="AE98" s="126"/>
      <c r="AF98" s="126"/>
      <c r="AG98" s="123"/>
      <c r="AH98" s="123"/>
      <c r="AI98" s="123"/>
    </row>
    <row r="99" spans="1:35" s="115" customFormat="1" ht="24" hidden="1" x14ac:dyDescent="0.25">
      <c r="A99" s="125" t="s">
        <v>460</v>
      </c>
      <c r="B99" s="126" t="s">
        <v>461</v>
      </c>
      <c r="C99" s="123">
        <f t="shared" si="15"/>
        <v>0</v>
      </c>
      <c r="D99" s="126"/>
      <c r="E99" s="126">
        <f t="shared" si="27"/>
        <v>0</v>
      </c>
      <c r="F99" s="127"/>
      <c r="G99" s="126"/>
      <c r="H99" s="126"/>
      <c r="I99" s="126"/>
      <c r="J99" s="126"/>
      <c r="K99" s="126"/>
      <c r="L99" s="126"/>
      <c r="M99" s="126"/>
      <c r="N99" s="126"/>
      <c r="O99" s="123">
        <f t="shared" si="17"/>
        <v>0</v>
      </c>
      <c r="P99" s="123">
        <f t="shared" si="18"/>
        <v>0</v>
      </c>
      <c r="Q99" s="123">
        <f t="shared" si="19"/>
        <v>0</v>
      </c>
      <c r="R99" s="126"/>
      <c r="S99" s="126"/>
      <c r="T99" s="126"/>
      <c r="U99" s="123">
        <f t="shared" si="20"/>
        <v>0</v>
      </c>
      <c r="V99" s="126">
        <f t="shared" si="28"/>
        <v>0</v>
      </c>
      <c r="W99" s="127"/>
      <c r="X99" s="126"/>
      <c r="Y99" s="126"/>
      <c r="Z99" s="126"/>
      <c r="AA99" s="126"/>
      <c r="AB99" s="126"/>
      <c r="AC99" s="126"/>
      <c r="AD99" s="126"/>
      <c r="AE99" s="126"/>
      <c r="AF99" s="126"/>
      <c r="AG99" s="123"/>
      <c r="AH99" s="123"/>
      <c r="AI99" s="123"/>
    </row>
    <row r="100" spans="1:35" s="115" customFormat="1" ht="24" hidden="1" x14ac:dyDescent="0.25">
      <c r="A100" s="125" t="s">
        <v>462</v>
      </c>
      <c r="B100" s="126" t="s">
        <v>463</v>
      </c>
      <c r="C100" s="123">
        <f t="shared" si="15"/>
        <v>0</v>
      </c>
      <c r="D100" s="126"/>
      <c r="E100" s="126">
        <f t="shared" si="27"/>
        <v>0</v>
      </c>
      <c r="F100" s="127"/>
      <c r="G100" s="126"/>
      <c r="H100" s="126"/>
      <c r="I100" s="126"/>
      <c r="J100" s="126"/>
      <c r="K100" s="126"/>
      <c r="L100" s="126"/>
      <c r="M100" s="126"/>
      <c r="N100" s="126"/>
      <c r="O100" s="123">
        <f t="shared" si="17"/>
        <v>0</v>
      </c>
      <c r="P100" s="123">
        <f t="shared" si="18"/>
        <v>0</v>
      </c>
      <c r="Q100" s="123">
        <f t="shared" si="19"/>
        <v>0</v>
      </c>
      <c r="R100" s="126"/>
      <c r="S100" s="126"/>
      <c r="T100" s="126"/>
      <c r="U100" s="123">
        <f t="shared" si="20"/>
        <v>0</v>
      </c>
      <c r="V100" s="126">
        <f t="shared" si="28"/>
        <v>0</v>
      </c>
      <c r="W100" s="127"/>
      <c r="X100" s="126"/>
      <c r="Y100" s="126"/>
      <c r="Z100" s="126"/>
      <c r="AA100" s="126"/>
      <c r="AB100" s="126"/>
      <c r="AC100" s="126"/>
      <c r="AD100" s="126"/>
      <c r="AE100" s="126"/>
      <c r="AF100" s="126"/>
      <c r="AG100" s="123"/>
      <c r="AH100" s="123"/>
      <c r="AI100" s="123"/>
    </row>
    <row r="101" spans="1:35" s="115" customFormat="1" ht="24" hidden="1" x14ac:dyDescent="0.25">
      <c r="A101" s="125" t="s">
        <v>464</v>
      </c>
      <c r="B101" s="126" t="s">
        <v>465</v>
      </c>
      <c r="C101" s="123">
        <f t="shared" si="15"/>
        <v>0</v>
      </c>
      <c r="D101" s="126"/>
      <c r="E101" s="126">
        <f t="shared" si="27"/>
        <v>0</v>
      </c>
      <c r="F101" s="127"/>
      <c r="G101" s="126"/>
      <c r="H101" s="126"/>
      <c r="I101" s="126"/>
      <c r="J101" s="126"/>
      <c r="K101" s="126"/>
      <c r="L101" s="126"/>
      <c r="M101" s="126"/>
      <c r="N101" s="126"/>
      <c r="O101" s="123">
        <f t="shared" si="17"/>
        <v>0</v>
      </c>
      <c r="P101" s="123">
        <f t="shared" si="18"/>
        <v>0</v>
      </c>
      <c r="Q101" s="123">
        <f t="shared" si="19"/>
        <v>0</v>
      </c>
      <c r="R101" s="126"/>
      <c r="S101" s="126"/>
      <c r="T101" s="126"/>
      <c r="U101" s="123">
        <f t="shared" si="20"/>
        <v>0</v>
      </c>
      <c r="V101" s="126">
        <f t="shared" si="28"/>
        <v>0</v>
      </c>
      <c r="W101" s="127"/>
      <c r="X101" s="126"/>
      <c r="Y101" s="126"/>
      <c r="Z101" s="126"/>
      <c r="AA101" s="126"/>
      <c r="AB101" s="126"/>
      <c r="AC101" s="126"/>
      <c r="AD101" s="126"/>
      <c r="AE101" s="126"/>
      <c r="AF101" s="126"/>
      <c r="AG101" s="123"/>
      <c r="AH101" s="123"/>
      <c r="AI101" s="123"/>
    </row>
    <row r="102" spans="1:35" s="115" customFormat="1" ht="24" hidden="1" x14ac:dyDescent="0.25">
      <c r="A102" s="125" t="s">
        <v>466</v>
      </c>
      <c r="B102" s="126" t="s">
        <v>467</v>
      </c>
      <c r="C102" s="123">
        <f t="shared" si="15"/>
        <v>0</v>
      </c>
      <c r="D102" s="126"/>
      <c r="E102" s="126">
        <f t="shared" si="27"/>
        <v>0</v>
      </c>
      <c r="F102" s="127"/>
      <c r="G102" s="126"/>
      <c r="H102" s="126"/>
      <c r="I102" s="126"/>
      <c r="J102" s="126"/>
      <c r="K102" s="126"/>
      <c r="L102" s="126"/>
      <c r="M102" s="126"/>
      <c r="N102" s="126"/>
      <c r="O102" s="123">
        <f t="shared" si="17"/>
        <v>0</v>
      </c>
      <c r="P102" s="123">
        <f t="shared" si="18"/>
        <v>0</v>
      </c>
      <c r="Q102" s="123">
        <f t="shared" si="19"/>
        <v>0</v>
      </c>
      <c r="R102" s="126"/>
      <c r="S102" s="126"/>
      <c r="T102" s="126"/>
      <c r="U102" s="123">
        <f t="shared" si="20"/>
        <v>0</v>
      </c>
      <c r="V102" s="126">
        <f t="shared" si="28"/>
        <v>0</v>
      </c>
      <c r="W102" s="127"/>
      <c r="X102" s="126"/>
      <c r="Y102" s="126"/>
      <c r="Z102" s="126"/>
      <c r="AA102" s="126"/>
      <c r="AB102" s="126"/>
      <c r="AC102" s="126"/>
      <c r="AD102" s="126"/>
      <c r="AE102" s="126"/>
      <c r="AF102" s="126"/>
      <c r="AG102" s="123"/>
      <c r="AH102" s="123"/>
      <c r="AI102" s="123"/>
    </row>
    <row r="103" spans="1:35" s="115" customFormat="1" ht="24" hidden="1" x14ac:dyDescent="0.25">
      <c r="A103" s="125" t="s">
        <v>468</v>
      </c>
      <c r="B103" s="126" t="s">
        <v>469</v>
      </c>
      <c r="C103" s="123">
        <f t="shared" si="15"/>
        <v>0</v>
      </c>
      <c r="D103" s="126"/>
      <c r="E103" s="126">
        <f t="shared" si="27"/>
        <v>0</v>
      </c>
      <c r="F103" s="127"/>
      <c r="G103" s="126"/>
      <c r="H103" s="126"/>
      <c r="I103" s="126"/>
      <c r="J103" s="126"/>
      <c r="K103" s="126"/>
      <c r="L103" s="126"/>
      <c r="M103" s="126"/>
      <c r="N103" s="126"/>
      <c r="O103" s="123">
        <f t="shared" si="17"/>
        <v>0</v>
      </c>
      <c r="P103" s="123">
        <f t="shared" si="18"/>
        <v>0</v>
      </c>
      <c r="Q103" s="123">
        <f t="shared" si="19"/>
        <v>0</v>
      </c>
      <c r="R103" s="126"/>
      <c r="S103" s="126"/>
      <c r="T103" s="126"/>
      <c r="U103" s="123">
        <f t="shared" si="20"/>
        <v>0</v>
      </c>
      <c r="V103" s="126">
        <f t="shared" si="28"/>
        <v>0</v>
      </c>
      <c r="W103" s="127"/>
      <c r="X103" s="126"/>
      <c r="Y103" s="126"/>
      <c r="Z103" s="126"/>
      <c r="AA103" s="126"/>
      <c r="AB103" s="126"/>
      <c r="AC103" s="126"/>
      <c r="AD103" s="126"/>
      <c r="AE103" s="126"/>
      <c r="AF103" s="126"/>
      <c r="AG103" s="123"/>
      <c r="AH103" s="123"/>
      <c r="AI103" s="123"/>
    </row>
    <row r="104" spans="1:35" s="115" customFormat="1" ht="24" hidden="1" x14ac:dyDescent="0.25">
      <c r="A104" s="125" t="s">
        <v>470</v>
      </c>
      <c r="B104" s="126" t="s">
        <v>471</v>
      </c>
      <c r="C104" s="123">
        <f t="shared" si="15"/>
        <v>0</v>
      </c>
      <c r="D104" s="126"/>
      <c r="E104" s="126">
        <f t="shared" si="27"/>
        <v>0</v>
      </c>
      <c r="F104" s="127"/>
      <c r="G104" s="126"/>
      <c r="H104" s="126"/>
      <c r="I104" s="126"/>
      <c r="J104" s="126"/>
      <c r="K104" s="126"/>
      <c r="L104" s="126"/>
      <c r="M104" s="126"/>
      <c r="N104" s="126"/>
      <c r="O104" s="123">
        <f t="shared" si="17"/>
        <v>0</v>
      </c>
      <c r="P104" s="123">
        <f t="shared" si="18"/>
        <v>0</v>
      </c>
      <c r="Q104" s="123">
        <f t="shared" si="19"/>
        <v>0</v>
      </c>
      <c r="R104" s="126"/>
      <c r="S104" s="126"/>
      <c r="T104" s="126"/>
      <c r="U104" s="123">
        <f t="shared" si="20"/>
        <v>0</v>
      </c>
      <c r="V104" s="126">
        <f t="shared" si="28"/>
        <v>0</v>
      </c>
      <c r="W104" s="127"/>
      <c r="X104" s="126"/>
      <c r="Y104" s="126"/>
      <c r="Z104" s="126"/>
      <c r="AA104" s="126"/>
      <c r="AB104" s="126"/>
      <c r="AC104" s="126"/>
      <c r="AD104" s="126"/>
      <c r="AE104" s="126"/>
      <c r="AF104" s="126"/>
      <c r="AG104" s="123"/>
      <c r="AH104" s="123"/>
      <c r="AI104" s="123"/>
    </row>
    <row r="105" spans="1:35" s="115" customFormat="1" ht="24" hidden="1" x14ac:dyDescent="0.25">
      <c r="A105" s="125" t="s">
        <v>472</v>
      </c>
      <c r="B105" s="126" t="s">
        <v>473</v>
      </c>
      <c r="C105" s="123">
        <f t="shared" si="15"/>
        <v>0</v>
      </c>
      <c r="D105" s="126"/>
      <c r="E105" s="126">
        <f t="shared" si="27"/>
        <v>0</v>
      </c>
      <c r="F105" s="127"/>
      <c r="G105" s="126"/>
      <c r="H105" s="126"/>
      <c r="I105" s="126"/>
      <c r="J105" s="126"/>
      <c r="K105" s="126"/>
      <c r="L105" s="126"/>
      <c r="M105" s="126"/>
      <c r="N105" s="126"/>
      <c r="O105" s="123">
        <f t="shared" si="17"/>
        <v>0</v>
      </c>
      <c r="P105" s="123">
        <f t="shared" si="18"/>
        <v>0</v>
      </c>
      <c r="Q105" s="123">
        <f t="shared" si="19"/>
        <v>0</v>
      </c>
      <c r="R105" s="126"/>
      <c r="S105" s="126"/>
      <c r="T105" s="126"/>
      <c r="U105" s="123">
        <f t="shared" si="20"/>
        <v>0</v>
      </c>
      <c r="V105" s="126">
        <f t="shared" si="28"/>
        <v>0</v>
      </c>
      <c r="W105" s="127"/>
      <c r="X105" s="126"/>
      <c r="Y105" s="126"/>
      <c r="Z105" s="126"/>
      <c r="AA105" s="126"/>
      <c r="AB105" s="126"/>
      <c r="AC105" s="126"/>
      <c r="AD105" s="126"/>
      <c r="AE105" s="126"/>
      <c r="AF105" s="126"/>
      <c r="AG105" s="123"/>
      <c r="AH105" s="123"/>
      <c r="AI105" s="123"/>
    </row>
    <row r="106" spans="1:35" s="115" customFormat="1" ht="24" hidden="1" x14ac:dyDescent="0.25">
      <c r="A106" s="125" t="s">
        <v>474</v>
      </c>
      <c r="B106" s="126" t="s">
        <v>475</v>
      </c>
      <c r="C106" s="123">
        <f t="shared" si="15"/>
        <v>0</v>
      </c>
      <c r="D106" s="126"/>
      <c r="E106" s="126">
        <f t="shared" si="27"/>
        <v>0</v>
      </c>
      <c r="F106" s="127"/>
      <c r="G106" s="126"/>
      <c r="H106" s="126"/>
      <c r="I106" s="126"/>
      <c r="J106" s="126"/>
      <c r="K106" s="126"/>
      <c r="L106" s="126"/>
      <c r="M106" s="126"/>
      <c r="N106" s="126"/>
      <c r="O106" s="123">
        <f t="shared" si="17"/>
        <v>0</v>
      </c>
      <c r="P106" s="123">
        <f t="shared" si="18"/>
        <v>0</v>
      </c>
      <c r="Q106" s="123">
        <f t="shared" si="19"/>
        <v>0</v>
      </c>
      <c r="R106" s="126"/>
      <c r="S106" s="126"/>
      <c r="T106" s="126"/>
      <c r="U106" s="123">
        <f t="shared" si="20"/>
        <v>0</v>
      </c>
      <c r="V106" s="126">
        <f t="shared" si="28"/>
        <v>0</v>
      </c>
      <c r="W106" s="127"/>
      <c r="X106" s="126"/>
      <c r="Y106" s="126"/>
      <c r="Z106" s="126"/>
      <c r="AA106" s="126"/>
      <c r="AB106" s="126"/>
      <c r="AC106" s="126"/>
      <c r="AD106" s="126"/>
      <c r="AE106" s="126"/>
      <c r="AF106" s="126"/>
      <c r="AG106" s="123"/>
      <c r="AH106" s="123"/>
      <c r="AI106" s="123"/>
    </row>
    <row r="107" spans="1:35" s="115" customFormat="1" ht="24" hidden="1" x14ac:dyDescent="0.25">
      <c r="A107" s="125" t="s">
        <v>476</v>
      </c>
      <c r="B107" s="126" t="s">
        <v>477</v>
      </c>
      <c r="C107" s="123">
        <f t="shared" si="15"/>
        <v>0</v>
      </c>
      <c r="D107" s="126"/>
      <c r="E107" s="126">
        <f t="shared" si="27"/>
        <v>0</v>
      </c>
      <c r="F107" s="127"/>
      <c r="G107" s="126"/>
      <c r="H107" s="126"/>
      <c r="I107" s="126"/>
      <c r="J107" s="126"/>
      <c r="K107" s="126"/>
      <c r="L107" s="126"/>
      <c r="M107" s="126"/>
      <c r="N107" s="126"/>
      <c r="O107" s="123">
        <f t="shared" si="17"/>
        <v>0</v>
      </c>
      <c r="P107" s="123">
        <f t="shared" si="18"/>
        <v>0</v>
      </c>
      <c r="Q107" s="123">
        <f t="shared" si="19"/>
        <v>0</v>
      </c>
      <c r="R107" s="126"/>
      <c r="S107" s="126"/>
      <c r="T107" s="126"/>
      <c r="U107" s="123">
        <f t="shared" si="20"/>
        <v>0</v>
      </c>
      <c r="V107" s="126">
        <f t="shared" si="28"/>
        <v>0</v>
      </c>
      <c r="W107" s="127"/>
      <c r="X107" s="126"/>
      <c r="Y107" s="126"/>
      <c r="Z107" s="126"/>
      <c r="AA107" s="126"/>
      <c r="AB107" s="126"/>
      <c r="AC107" s="126"/>
      <c r="AD107" s="126"/>
      <c r="AE107" s="126"/>
      <c r="AF107" s="126"/>
      <c r="AG107" s="123"/>
      <c r="AH107" s="123"/>
      <c r="AI107" s="123"/>
    </row>
    <row r="108" spans="1:35" s="115" customFormat="1" ht="24" hidden="1" x14ac:dyDescent="0.25">
      <c r="A108" s="125" t="s">
        <v>478</v>
      </c>
      <c r="B108" s="126" t="s">
        <v>479</v>
      </c>
      <c r="C108" s="123">
        <f t="shared" si="15"/>
        <v>0</v>
      </c>
      <c r="D108" s="126"/>
      <c r="E108" s="126">
        <f t="shared" si="27"/>
        <v>0</v>
      </c>
      <c r="F108" s="127"/>
      <c r="G108" s="126"/>
      <c r="H108" s="126"/>
      <c r="I108" s="126"/>
      <c r="J108" s="126"/>
      <c r="K108" s="126"/>
      <c r="L108" s="126"/>
      <c r="M108" s="126"/>
      <c r="N108" s="126"/>
      <c r="O108" s="123">
        <f t="shared" si="17"/>
        <v>0</v>
      </c>
      <c r="P108" s="123">
        <f t="shared" si="18"/>
        <v>0</v>
      </c>
      <c r="Q108" s="123">
        <f t="shared" si="19"/>
        <v>0</v>
      </c>
      <c r="R108" s="126"/>
      <c r="S108" s="126"/>
      <c r="T108" s="126"/>
      <c r="U108" s="123">
        <f t="shared" si="20"/>
        <v>0</v>
      </c>
      <c r="V108" s="126">
        <f t="shared" si="28"/>
        <v>0</v>
      </c>
      <c r="W108" s="127"/>
      <c r="X108" s="126"/>
      <c r="Y108" s="126"/>
      <c r="Z108" s="126"/>
      <c r="AA108" s="126"/>
      <c r="AB108" s="126"/>
      <c r="AC108" s="126"/>
      <c r="AD108" s="126"/>
      <c r="AE108" s="126"/>
      <c r="AF108" s="126"/>
      <c r="AG108" s="123"/>
      <c r="AH108" s="123"/>
      <c r="AI108" s="123"/>
    </row>
    <row r="109" spans="1:35" s="115" customFormat="1" ht="24" hidden="1" x14ac:dyDescent="0.25">
      <c r="A109" s="125" t="s">
        <v>480</v>
      </c>
      <c r="B109" s="126" t="s">
        <v>481</v>
      </c>
      <c r="C109" s="123">
        <f t="shared" si="15"/>
        <v>0</v>
      </c>
      <c r="D109" s="126"/>
      <c r="E109" s="126">
        <f t="shared" si="27"/>
        <v>0</v>
      </c>
      <c r="F109" s="127"/>
      <c r="G109" s="126"/>
      <c r="H109" s="126"/>
      <c r="I109" s="126"/>
      <c r="J109" s="126"/>
      <c r="K109" s="126"/>
      <c r="L109" s="126"/>
      <c r="M109" s="126"/>
      <c r="N109" s="126"/>
      <c r="O109" s="123">
        <f t="shared" si="17"/>
        <v>0</v>
      </c>
      <c r="P109" s="123">
        <f t="shared" si="18"/>
        <v>0</v>
      </c>
      <c r="Q109" s="123">
        <f t="shared" si="19"/>
        <v>0</v>
      </c>
      <c r="R109" s="126"/>
      <c r="S109" s="126"/>
      <c r="T109" s="126"/>
      <c r="U109" s="123">
        <f t="shared" si="20"/>
        <v>0</v>
      </c>
      <c r="V109" s="126">
        <f t="shared" si="28"/>
        <v>0</v>
      </c>
      <c r="W109" s="127"/>
      <c r="X109" s="126"/>
      <c r="Y109" s="126"/>
      <c r="Z109" s="126"/>
      <c r="AA109" s="126"/>
      <c r="AB109" s="126"/>
      <c r="AC109" s="126"/>
      <c r="AD109" s="126"/>
      <c r="AE109" s="126"/>
      <c r="AF109" s="126"/>
      <c r="AG109" s="123"/>
      <c r="AH109" s="123"/>
      <c r="AI109" s="123"/>
    </row>
    <row r="110" spans="1:35" s="115" customFormat="1" ht="24" hidden="1" x14ac:dyDescent="0.25">
      <c r="A110" s="125" t="s">
        <v>482</v>
      </c>
      <c r="B110" s="126" t="s">
        <v>483</v>
      </c>
      <c r="C110" s="123">
        <f t="shared" si="15"/>
        <v>0</v>
      </c>
      <c r="D110" s="126"/>
      <c r="E110" s="126">
        <f t="shared" si="27"/>
        <v>0</v>
      </c>
      <c r="F110" s="127"/>
      <c r="G110" s="126"/>
      <c r="H110" s="126"/>
      <c r="I110" s="126"/>
      <c r="J110" s="126"/>
      <c r="K110" s="126"/>
      <c r="L110" s="126"/>
      <c r="M110" s="126"/>
      <c r="N110" s="126"/>
      <c r="O110" s="123">
        <f t="shared" si="17"/>
        <v>0</v>
      </c>
      <c r="P110" s="123">
        <f t="shared" si="18"/>
        <v>0</v>
      </c>
      <c r="Q110" s="123">
        <f t="shared" si="19"/>
        <v>0</v>
      </c>
      <c r="R110" s="126"/>
      <c r="S110" s="126"/>
      <c r="T110" s="126"/>
      <c r="U110" s="123">
        <f t="shared" si="20"/>
        <v>0</v>
      </c>
      <c r="V110" s="126">
        <f t="shared" si="28"/>
        <v>0</v>
      </c>
      <c r="W110" s="127"/>
      <c r="X110" s="126"/>
      <c r="Y110" s="126"/>
      <c r="Z110" s="126"/>
      <c r="AA110" s="126"/>
      <c r="AB110" s="126"/>
      <c r="AC110" s="126"/>
      <c r="AD110" s="126"/>
      <c r="AE110" s="126"/>
      <c r="AF110" s="126"/>
      <c r="AG110" s="123"/>
      <c r="AH110" s="123"/>
      <c r="AI110" s="123"/>
    </row>
    <row r="111" spans="1:35" s="115" customFormat="1" ht="24" hidden="1" x14ac:dyDescent="0.25">
      <c r="A111" s="125" t="s">
        <v>484</v>
      </c>
      <c r="B111" s="126" t="s">
        <v>485</v>
      </c>
      <c r="C111" s="123">
        <f t="shared" si="15"/>
        <v>0</v>
      </c>
      <c r="D111" s="126"/>
      <c r="E111" s="126">
        <f t="shared" si="27"/>
        <v>0</v>
      </c>
      <c r="F111" s="127"/>
      <c r="G111" s="126"/>
      <c r="H111" s="126"/>
      <c r="I111" s="126"/>
      <c r="J111" s="126"/>
      <c r="K111" s="126"/>
      <c r="L111" s="126"/>
      <c r="M111" s="126"/>
      <c r="N111" s="126"/>
      <c r="O111" s="123">
        <f t="shared" si="17"/>
        <v>0</v>
      </c>
      <c r="P111" s="123">
        <f t="shared" si="18"/>
        <v>0</v>
      </c>
      <c r="Q111" s="123">
        <f t="shared" si="19"/>
        <v>0</v>
      </c>
      <c r="R111" s="126"/>
      <c r="S111" s="126"/>
      <c r="T111" s="126"/>
      <c r="U111" s="123">
        <f t="shared" si="20"/>
        <v>0</v>
      </c>
      <c r="V111" s="126">
        <f t="shared" si="28"/>
        <v>0</v>
      </c>
      <c r="W111" s="127"/>
      <c r="X111" s="126"/>
      <c r="Y111" s="126"/>
      <c r="Z111" s="126"/>
      <c r="AA111" s="126"/>
      <c r="AB111" s="126"/>
      <c r="AC111" s="126"/>
      <c r="AD111" s="126"/>
      <c r="AE111" s="126"/>
      <c r="AF111" s="126"/>
      <c r="AG111" s="123"/>
      <c r="AH111" s="123"/>
      <c r="AI111" s="123"/>
    </row>
    <row r="112" spans="1:35" s="115" customFormat="1" ht="24" hidden="1" x14ac:dyDescent="0.25">
      <c r="A112" s="125" t="s">
        <v>486</v>
      </c>
      <c r="B112" s="126" t="s">
        <v>487</v>
      </c>
      <c r="C112" s="123">
        <f t="shared" si="15"/>
        <v>0</v>
      </c>
      <c r="D112" s="126"/>
      <c r="E112" s="126">
        <f t="shared" si="27"/>
        <v>0</v>
      </c>
      <c r="F112" s="127"/>
      <c r="G112" s="126"/>
      <c r="H112" s="126"/>
      <c r="I112" s="126"/>
      <c r="J112" s="126"/>
      <c r="K112" s="126"/>
      <c r="L112" s="126"/>
      <c r="M112" s="126"/>
      <c r="N112" s="126"/>
      <c r="O112" s="123">
        <f t="shared" si="17"/>
        <v>0</v>
      </c>
      <c r="P112" s="123">
        <f t="shared" si="18"/>
        <v>0</v>
      </c>
      <c r="Q112" s="123">
        <f t="shared" si="19"/>
        <v>0</v>
      </c>
      <c r="R112" s="126"/>
      <c r="S112" s="126"/>
      <c r="T112" s="126"/>
      <c r="U112" s="123">
        <f t="shared" si="20"/>
        <v>0</v>
      </c>
      <c r="V112" s="126">
        <f t="shared" si="28"/>
        <v>0</v>
      </c>
      <c r="W112" s="127"/>
      <c r="X112" s="126"/>
      <c r="Y112" s="126"/>
      <c r="Z112" s="126"/>
      <c r="AA112" s="126"/>
      <c r="AB112" s="126"/>
      <c r="AC112" s="126"/>
      <c r="AD112" s="126"/>
      <c r="AE112" s="126"/>
      <c r="AF112" s="126"/>
      <c r="AG112" s="123"/>
      <c r="AH112" s="123"/>
      <c r="AI112" s="123"/>
    </row>
    <row r="113" spans="1:35" s="115" customFormat="1" ht="24" hidden="1" x14ac:dyDescent="0.25">
      <c r="A113" s="125" t="s">
        <v>488</v>
      </c>
      <c r="B113" s="126" t="s">
        <v>489</v>
      </c>
      <c r="C113" s="123">
        <f t="shared" si="15"/>
        <v>0</v>
      </c>
      <c r="D113" s="126"/>
      <c r="E113" s="126">
        <f t="shared" si="27"/>
        <v>0</v>
      </c>
      <c r="F113" s="127"/>
      <c r="G113" s="126"/>
      <c r="H113" s="126"/>
      <c r="I113" s="126"/>
      <c r="J113" s="126"/>
      <c r="K113" s="126"/>
      <c r="L113" s="126"/>
      <c r="M113" s="126"/>
      <c r="N113" s="126"/>
      <c r="O113" s="123">
        <f t="shared" si="17"/>
        <v>0</v>
      </c>
      <c r="P113" s="123">
        <f t="shared" si="18"/>
        <v>0</v>
      </c>
      <c r="Q113" s="123">
        <f t="shared" si="19"/>
        <v>0</v>
      </c>
      <c r="R113" s="126"/>
      <c r="S113" s="126"/>
      <c r="T113" s="126"/>
      <c r="U113" s="123">
        <f t="shared" si="20"/>
        <v>0</v>
      </c>
      <c r="V113" s="126">
        <f t="shared" si="28"/>
        <v>0</v>
      </c>
      <c r="W113" s="127"/>
      <c r="X113" s="126"/>
      <c r="Y113" s="126"/>
      <c r="Z113" s="126"/>
      <c r="AA113" s="126"/>
      <c r="AB113" s="126"/>
      <c r="AC113" s="126"/>
      <c r="AD113" s="126"/>
      <c r="AE113" s="126"/>
      <c r="AF113" s="126"/>
      <c r="AG113" s="123"/>
      <c r="AH113" s="123"/>
      <c r="AI113" s="123"/>
    </row>
    <row r="114" spans="1:35" s="115" customFormat="1" ht="24" hidden="1" x14ac:dyDescent="0.25">
      <c r="A114" s="125" t="s">
        <v>490</v>
      </c>
      <c r="B114" s="126" t="s">
        <v>491</v>
      </c>
      <c r="C114" s="123">
        <f t="shared" si="15"/>
        <v>0</v>
      </c>
      <c r="D114" s="126"/>
      <c r="E114" s="126">
        <f t="shared" si="27"/>
        <v>0</v>
      </c>
      <c r="F114" s="127"/>
      <c r="G114" s="126"/>
      <c r="H114" s="126"/>
      <c r="I114" s="126"/>
      <c r="J114" s="126"/>
      <c r="K114" s="126"/>
      <c r="L114" s="126"/>
      <c r="M114" s="126"/>
      <c r="N114" s="126"/>
      <c r="O114" s="123">
        <f t="shared" si="17"/>
        <v>0</v>
      </c>
      <c r="P114" s="123">
        <f t="shared" si="18"/>
        <v>0</v>
      </c>
      <c r="Q114" s="123">
        <f t="shared" si="19"/>
        <v>0</v>
      </c>
      <c r="R114" s="126"/>
      <c r="S114" s="126"/>
      <c r="T114" s="126"/>
      <c r="U114" s="123">
        <f t="shared" si="20"/>
        <v>0</v>
      </c>
      <c r="V114" s="126">
        <f t="shared" si="28"/>
        <v>0</v>
      </c>
      <c r="W114" s="127"/>
      <c r="X114" s="126"/>
      <c r="Y114" s="126"/>
      <c r="Z114" s="126"/>
      <c r="AA114" s="126"/>
      <c r="AB114" s="126"/>
      <c r="AC114" s="126"/>
      <c r="AD114" s="126"/>
      <c r="AE114" s="126"/>
      <c r="AF114" s="126"/>
      <c r="AG114" s="123"/>
      <c r="AH114" s="123"/>
      <c r="AI114" s="123"/>
    </row>
    <row r="115" spans="1:35" s="115" customFormat="1" ht="24" hidden="1" x14ac:dyDescent="0.25">
      <c r="A115" s="125" t="s">
        <v>492</v>
      </c>
      <c r="B115" s="126" t="s">
        <v>493</v>
      </c>
      <c r="C115" s="123">
        <f t="shared" si="15"/>
        <v>0</v>
      </c>
      <c r="D115" s="126"/>
      <c r="E115" s="126">
        <f t="shared" si="27"/>
        <v>0</v>
      </c>
      <c r="F115" s="127"/>
      <c r="G115" s="126"/>
      <c r="H115" s="126"/>
      <c r="I115" s="126"/>
      <c r="J115" s="126"/>
      <c r="K115" s="126"/>
      <c r="L115" s="126"/>
      <c r="M115" s="126"/>
      <c r="N115" s="126"/>
      <c r="O115" s="123">
        <f t="shared" si="17"/>
        <v>0</v>
      </c>
      <c r="P115" s="123">
        <f t="shared" si="18"/>
        <v>0</v>
      </c>
      <c r="Q115" s="123">
        <f t="shared" si="19"/>
        <v>0</v>
      </c>
      <c r="R115" s="126"/>
      <c r="S115" s="126"/>
      <c r="T115" s="126"/>
      <c r="U115" s="123">
        <f t="shared" si="20"/>
        <v>0</v>
      </c>
      <c r="V115" s="126">
        <f t="shared" si="28"/>
        <v>0</v>
      </c>
      <c r="W115" s="127"/>
      <c r="X115" s="126"/>
      <c r="Y115" s="126"/>
      <c r="Z115" s="126"/>
      <c r="AA115" s="126"/>
      <c r="AB115" s="126"/>
      <c r="AC115" s="126"/>
      <c r="AD115" s="126"/>
      <c r="AE115" s="126"/>
      <c r="AF115" s="126"/>
      <c r="AG115" s="123"/>
      <c r="AH115" s="123"/>
      <c r="AI115" s="123"/>
    </row>
    <row r="116" spans="1:35" s="115" customFormat="1" ht="24" hidden="1" x14ac:dyDescent="0.25">
      <c r="A116" s="125" t="s">
        <v>494</v>
      </c>
      <c r="B116" s="126" t="s">
        <v>495</v>
      </c>
      <c r="C116" s="123">
        <f t="shared" si="15"/>
        <v>0</v>
      </c>
      <c r="D116" s="126"/>
      <c r="E116" s="126">
        <f t="shared" si="27"/>
        <v>0</v>
      </c>
      <c r="F116" s="127"/>
      <c r="G116" s="126"/>
      <c r="H116" s="126"/>
      <c r="I116" s="126"/>
      <c r="J116" s="126"/>
      <c r="K116" s="126"/>
      <c r="L116" s="126"/>
      <c r="M116" s="126"/>
      <c r="N116" s="126"/>
      <c r="O116" s="123">
        <f t="shared" si="17"/>
        <v>0</v>
      </c>
      <c r="P116" s="123">
        <f t="shared" si="18"/>
        <v>0</v>
      </c>
      <c r="Q116" s="123">
        <f t="shared" si="19"/>
        <v>0</v>
      </c>
      <c r="R116" s="126"/>
      <c r="S116" s="126"/>
      <c r="T116" s="126"/>
      <c r="U116" s="123">
        <f t="shared" si="20"/>
        <v>0</v>
      </c>
      <c r="V116" s="126">
        <f t="shared" si="28"/>
        <v>0</v>
      </c>
      <c r="W116" s="127"/>
      <c r="X116" s="126"/>
      <c r="Y116" s="126"/>
      <c r="Z116" s="126"/>
      <c r="AA116" s="126"/>
      <c r="AB116" s="126"/>
      <c r="AC116" s="126"/>
      <c r="AD116" s="126"/>
      <c r="AE116" s="126"/>
      <c r="AF116" s="126"/>
      <c r="AG116" s="123"/>
      <c r="AH116" s="123"/>
      <c r="AI116" s="123"/>
    </row>
    <row r="117" spans="1:35" s="115" customFormat="1" ht="24" hidden="1" x14ac:dyDescent="0.25">
      <c r="A117" s="125" t="s">
        <v>496</v>
      </c>
      <c r="B117" s="126" t="s">
        <v>497</v>
      </c>
      <c r="C117" s="123">
        <f t="shared" si="15"/>
        <v>0</v>
      </c>
      <c r="D117" s="126"/>
      <c r="E117" s="126">
        <f t="shared" si="27"/>
        <v>0</v>
      </c>
      <c r="F117" s="127"/>
      <c r="G117" s="126"/>
      <c r="H117" s="126"/>
      <c r="I117" s="126"/>
      <c r="J117" s="126"/>
      <c r="K117" s="126"/>
      <c r="L117" s="126"/>
      <c r="M117" s="126"/>
      <c r="N117" s="126"/>
      <c r="O117" s="123">
        <f t="shared" si="17"/>
        <v>0</v>
      </c>
      <c r="P117" s="123">
        <f t="shared" si="18"/>
        <v>0</v>
      </c>
      <c r="Q117" s="123">
        <f t="shared" si="19"/>
        <v>0</v>
      </c>
      <c r="R117" s="126"/>
      <c r="S117" s="126"/>
      <c r="T117" s="126"/>
      <c r="U117" s="123">
        <f t="shared" si="20"/>
        <v>0</v>
      </c>
      <c r="V117" s="126">
        <f t="shared" si="28"/>
        <v>0</v>
      </c>
      <c r="W117" s="127"/>
      <c r="X117" s="126"/>
      <c r="Y117" s="126"/>
      <c r="Z117" s="126"/>
      <c r="AA117" s="126"/>
      <c r="AB117" s="126"/>
      <c r="AC117" s="126"/>
      <c r="AD117" s="126"/>
      <c r="AE117" s="126"/>
      <c r="AF117" s="126"/>
      <c r="AG117" s="123"/>
      <c r="AH117" s="123"/>
      <c r="AI117" s="123"/>
    </row>
    <row r="118" spans="1:35" s="115" customFormat="1" ht="24" hidden="1" x14ac:dyDescent="0.25">
      <c r="A118" s="125" t="s">
        <v>498</v>
      </c>
      <c r="B118" s="126" t="s">
        <v>499</v>
      </c>
      <c r="C118" s="123">
        <f t="shared" si="15"/>
        <v>0</v>
      </c>
      <c r="D118" s="126"/>
      <c r="E118" s="126">
        <f t="shared" si="27"/>
        <v>0</v>
      </c>
      <c r="F118" s="127"/>
      <c r="G118" s="126"/>
      <c r="H118" s="126"/>
      <c r="I118" s="126"/>
      <c r="J118" s="126"/>
      <c r="K118" s="126"/>
      <c r="L118" s="126"/>
      <c r="M118" s="126"/>
      <c r="N118" s="126"/>
      <c r="O118" s="123">
        <f t="shared" si="17"/>
        <v>0</v>
      </c>
      <c r="P118" s="123">
        <f t="shared" si="18"/>
        <v>0</v>
      </c>
      <c r="Q118" s="123">
        <f t="shared" si="19"/>
        <v>0</v>
      </c>
      <c r="R118" s="126"/>
      <c r="S118" s="126"/>
      <c r="T118" s="126"/>
      <c r="U118" s="123">
        <f t="shared" si="20"/>
        <v>0</v>
      </c>
      <c r="V118" s="126">
        <f t="shared" si="28"/>
        <v>0</v>
      </c>
      <c r="W118" s="127"/>
      <c r="X118" s="126"/>
      <c r="Y118" s="126"/>
      <c r="Z118" s="126"/>
      <c r="AA118" s="126"/>
      <c r="AB118" s="126"/>
      <c r="AC118" s="126"/>
      <c r="AD118" s="126"/>
      <c r="AE118" s="126"/>
      <c r="AF118" s="126"/>
      <c r="AG118" s="123"/>
      <c r="AH118" s="123"/>
      <c r="AI118" s="123"/>
    </row>
    <row r="119" spans="1:35" s="115" customFormat="1" ht="24" hidden="1" x14ac:dyDescent="0.25">
      <c r="A119" s="125" t="s">
        <v>500</v>
      </c>
      <c r="B119" s="126" t="s">
        <v>501</v>
      </c>
      <c r="C119" s="123">
        <f t="shared" si="15"/>
        <v>0</v>
      </c>
      <c r="D119" s="126"/>
      <c r="E119" s="126">
        <f t="shared" si="27"/>
        <v>0</v>
      </c>
      <c r="F119" s="127"/>
      <c r="G119" s="126"/>
      <c r="H119" s="126"/>
      <c r="I119" s="126"/>
      <c r="J119" s="126"/>
      <c r="K119" s="126"/>
      <c r="L119" s="126"/>
      <c r="M119" s="126"/>
      <c r="N119" s="126"/>
      <c r="O119" s="123">
        <f t="shared" si="17"/>
        <v>0</v>
      </c>
      <c r="P119" s="123">
        <f t="shared" si="18"/>
        <v>0</v>
      </c>
      <c r="Q119" s="123">
        <f t="shared" si="19"/>
        <v>0</v>
      </c>
      <c r="R119" s="126"/>
      <c r="S119" s="126"/>
      <c r="T119" s="126"/>
      <c r="U119" s="123">
        <f t="shared" si="20"/>
        <v>0</v>
      </c>
      <c r="V119" s="126">
        <f t="shared" si="28"/>
        <v>0</v>
      </c>
      <c r="W119" s="127"/>
      <c r="X119" s="126"/>
      <c r="Y119" s="126"/>
      <c r="Z119" s="126"/>
      <c r="AA119" s="126"/>
      <c r="AB119" s="126"/>
      <c r="AC119" s="126"/>
      <c r="AD119" s="126"/>
      <c r="AE119" s="126"/>
      <c r="AF119" s="126"/>
      <c r="AG119" s="123"/>
      <c r="AH119" s="123"/>
      <c r="AI119" s="123"/>
    </row>
    <row r="120" spans="1:35" s="115" customFormat="1" ht="24" hidden="1" x14ac:dyDescent="0.25">
      <c r="A120" s="125" t="s">
        <v>502</v>
      </c>
      <c r="B120" s="126" t="s">
        <v>503</v>
      </c>
      <c r="C120" s="123">
        <f t="shared" si="15"/>
        <v>0</v>
      </c>
      <c r="D120" s="126"/>
      <c r="E120" s="126">
        <f t="shared" si="27"/>
        <v>0</v>
      </c>
      <c r="F120" s="127"/>
      <c r="G120" s="126"/>
      <c r="H120" s="126"/>
      <c r="I120" s="126"/>
      <c r="J120" s="126"/>
      <c r="K120" s="126"/>
      <c r="L120" s="126"/>
      <c r="M120" s="126"/>
      <c r="N120" s="126"/>
      <c r="O120" s="123">
        <f t="shared" si="17"/>
        <v>0</v>
      </c>
      <c r="P120" s="123">
        <f t="shared" si="18"/>
        <v>0</v>
      </c>
      <c r="Q120" s="123">
        <f t="shared" si="19"/>
        <v>0</v>
      </c>
      <c r="R120" s="126"/>
      <c r="S120" s="126"/>
      <c r="T120" s="126"/>
      <c r="U120" s="123">
        <f t="shared" si="20"/>
        <v>0</v>
      </c>
      <c r="V120" s="126">
        <f t="shared" si="28"/>
        <v>0</v>
      </c>
      <c r="W120" s="127"/>
      <c r="X120" s="126"/>
      <c r="Y120" s="126"/>
      <c r="Z120" s="126"/>
      <c r="AA120" s="126"/>
      <c r="AB120" s="126"/>
      <c r="AC120" s="126"/>
      <c r="AD120" s="126"/>
      <c r="AE120" s="126"/>
      <c r="AF120" s="126"/>
      <c r="AG120" s="123"/>
      <c r="AH120" s="123"/>
      <c r="AI120" s="123"/>
    </row>
    <row r="121" spans="1:35" s="115" customFormat="1" ht="24" hidden="1" x14ac:dyDescent="0.25">
      <c r="A121" s="125" t="s">
        <v>504</v>
      </c>
      <c r="B121" s="126" t="s">
        <v>505</v>
      </c>
      <c r="C121" s="123">
        <f t="shared" si="15"/>
        <v>0</v>
      </c>
      <c r="D121" s="126"/>
      <c r="E121" s="126">
        <f t="shared" si="27"/>
        <v>0</v>
      </c>
      <c r="F121" s="127"/>
      <c r="G121" s="126"/>
      <c r="H121" s="126"/>
      <c r="I121" s="126"/>
      <c r="J121" s="126"/>
      <c r="K121" s="126"/>
      <c r="L121" s="126"/>
      <c r="M121" s="126"/>
      <c r="N121" s="126"/>
      <c r="O121" s="123">
        <f t="shared" si="17"/>
        <v>0</v>
      </c>
      <c r="P121" s="123">
        <f t="shared" si="18"/>
        <v>0</v>
      </c>
      <c r="Q121" s="123">
        <f t="shared" si="19"/>
        <v>0</v>
      </c>
      <c r="R121" s="126"/>
      <c r="S121" s="126"/>
      <c r="T121" s="126"/>
      <c r="U121" s="123">
        <f t="shared" si="20"/>
        <v>0</v>
      </c>
      <c r="V121" s="126">
        <f t="shared" si="28"/>
        <v>0</v>
      </c>
      <c r="W121" s="127"/>
      <c r="X121" s="126"/>
      <c r="Y121" s="126"/>
      <c r="Z121" s="126"/>
      <c r="AA121" s="126"/>
      <c r="AB121" s="126"/>
      <c r="AC121" s="126"/>
      <c r="AD121" s="126"/>
      <c r="AE121" s="126"/>
      <c r="AF121" s="126"/>
      <c r="AG121" s="123"/>
      <c r="AH121" s="123"/>
      <c r="AI121" s="123"/>
    </row>
    <row r="122" spans="1:35" s="115" customFormat="1" ht="24" hidden="1" x14ac:dyDescent="0.25">
      <c r="A122" s="125" t="s">
        <v>506</v>
      </c>
      <c r="B122" s="126" t="s">
        <v>507</v>
      </c>
      <c r="C122" s="123">
        <f t="shared" si="15"/>
        <v>0</v>
      </c>
      <c r="D122" s="126"/>
      <c r="E122" s="126">
        <f t="shared" si="27"/>
        <v>0</v>
      </c>
      <c r="F122" s="127"/>
      <c r="G122" s="126"/>
      <c r="H122" s="126"/>
      <c r="I122" s="126"/>
      <c r="J122" s="126"/>
      <c r="K122" s="126"/>
      <c r="L122" s="126"/>
      <c r="M122" s="126"/>
      <c r="N122" s="126"/>
      <c r="O122" s="123">
        <f t="shared" si="17"/>
        <v>0</v>
      </c>
      <c r="P122" s="123">
        <f t="shared" si="18"/>
        <v>0</v>
      </c>
      <c r="Q122" s="123">
        <f t="shared" si="19"/>
        <v>0</v>
      </c>
      <c r="R122" s="126"/>
      <c r="S122" s="126"/>
      <c r="T122" s="126"/>
      <c r="U122" s="123">
        <f t="shared" si="20"/>
        <v>0</v>
      </c>
      <c r="V122" s="126">
        <f t="shared" si="28"/>
        <v>0</v>
      </c>
      <c r="W122" s="127"/>
      <c r="X122" s="126"/>
      <c r="Y122" s="126"/>
      <c r="Z122" s="126"/>
      <c r="AA122" s="126"/>
      <c r="AB122" s="126"/>
      <c r="AC122" s="126"/>
      <c r="AD122" s="126"/>
      <c r="AE122" s="126"/>
      <c r="AF122" s="126"/>
      <c r="AG122" s="123"/>
      <c r="AH122" s="123"/>
      <c r="AI122" s="123"/>
    </row>
    <row r="123" spans="1:35" s="115" customFormat="1" ht="24" hidden="1" x14ac:dyDescent="0.25">
      <c r="A123" s="125" t="s">
        <v>508</v>
      </c>
      <c r="B123" s="126" t="s">
        <v>509</v>
      </c>
      <c r="C123" s="123">
        <f t="shared" si="15"/>
        <v>0</v>
      </c>
      <c r="D123" s="126"/>
      <c r="E123" s="126">
        <f t="shared" si="27"/>
        <v>0</v>
      </c>
      <c r="F123" s="127"/>
      <c r="G123" s="126"/>
      <c r="H123" s="126"/>
      <c r="I123" s="126"/>
      <c r="J123" s="126"/>
      <c r="K123" s="126"/>
      <c r="L123" s="126"/>
      <c r="M123" s="126"/>
      <c r="N123" s="126"/>
      <c r="O123" s="123">
        <f t="shared" si="17"/>
        <v>0</v>
      </c>
      <c r="P123" s="123">
        <f t="shared" si="18"/>
        <v>0</v>
      </c>
      <c r="Q123" s="123">
        <f t="shared" si="19"/>
        <v>0</v>
      </c>
      <c r="R123" s="126"/>
      <c r="S123" s="126"/>
      <c r="T123" s="126"/>
      <c r="U123" s="123">
        <f t="shared" si="20"/>
        <v>0</v>
      </c>
      <c r="V123" s="126">
        <f t="shared" si="28"/>
        <v>0</v>
      </c>
      <c r="W123" s="127"/>
      <c r="X123" s="126"/>
      <c r="Y123" s="126"/>
      <c r="Z123" s="126"/>
      <c r="AA123" s="126"/>
      <c r="AB123" s="126"/>
      <c r="AC123" s="126"/>
      <c r="AD123" s="126"/>
      <c r="AE123" s="126"/>
      <c r="AF123" s="126"/>
      <c r="AG123" s="123"/>
      <c r="AH123" s="123"/>
      <c r="AI123" s="123"/>
    </row>
    <row r="124" spans="1:35" s="115" customFormat="1" ht="24" x14ac:dyDescent="0.25">
      <c r="A124" s="117">
        <v>3</v>
      </c>
      <c r="B124" s="123" t="s">
        <v>510</v>
      </c>
      <c r="C124" s="123">
        <f t="shared" si="15"/>
        <v>3</v>
      </c>
      <c r="D124" s="123"/>
      <c r="E124" s="123">
        <v>3</v>
      </c>
      <c r="F124" s="123">
        <f t="shared" ref="F124:AE124" si="29">SUM(F125:F131)</f>
        <v>0</v>
      </c>
      <c r="G124" s="123">
        <f t="shared" si="29"/>
        <v>0</v>
      </c>
      <c r="H124" s="123">
        <f t="shared" si="29"/>
        <v>0</v>
      </c>
      <c r="I124" s="123">
        <f t="shared" si="29"/>
        <v>0</v>
      </c>
      <c r="J124" s="123">
        <f t="shared" si="29"/>
        <v>0</v>
      </c>
      <c r="K124" s="123">
        <f t="shared" si="29"/>
        <v>0</v>
      </c>
      <c r="L124" s="123">
        <f t="shared" si="29"/>
        <v>3</v>
      </c>
      <c r="M124" s="123">
        <f t="shared" si="29"/>
        <v>0</v>
      </c>
      <c r="N124" s="123">
        <f t="shared" si="29"/>
        <v>0</v>
      </c>
      <c r="O124" s="123">
        <f t="shared" si="17"/>
        <v>453</v>
      </c>
      <c r="P124" s="123">
        <f t="shared" si="18"/>
        <v>0</v>
      </c>
      <c r="Q124" s="123">
        <f t="shared" si="19"/>
        <v>453</v>
      </c>
      <c r="R124" s="123"/>
      <c r="S124" s="123"/>
      <c r="T124" s="123"/>
      <c r="U124" s="123">
        <f t="shared" si="20"/>
        <v>453</v>
      </c>
      <c r="V124" s="123">
        <v>453</v>
      </c>
      <c r="W124" s="123">
        <f t="shared" si="29"/>
        <v>0</v>
      </c>
      <c r="X124" s="123">
        <f t="shared" si="29"/>
        <v>330</v>
      </c>
      <c r="Y124" s="123">
        <f t="shared" si="29"/>
        <v>0</v>
      </c>
      <c r="Z124" s="123">
        <f t="shared" si="29"/>
        <v>0</v>
      </c>
      <c r="AA124" s="123">
        <f t="shared" si="29"/>
        <v>0</v>
      </c>
      <c r="AB124" s="123">
        <f t="shared" si="29"/>
        <v>0</v>
      </c>
      <c r="AC124" s="123">
        <f t="shared" si="29"/>
        <v>3</v>
      </c>
      <c r="AD124" s="123">
        <f t="shared" si="29"/>
        <v>0</v>
      </c>
      <c r="AE124" s="123">
        <f t="shared" si="29"/>
        <v>0</v>
      </c>
      <c r="AF124" s="123"/>
      <c r="AG124" s="123"/>
      <c r="AH124" s="123"/>
      <c r="AI124" s="128"/>
    </row>
    <row r="125" spans="1:35" s="115" customFormat="1" ht="15" hidden="1" x14ac:dyDescent="0.25">
      <c r="A125" s="125" t="s">
        <v>511</v>
      </c>
      <c r="B125" s="126" t="s">
        <v>512</v>
      </c>
      <c r="C125" s="123">
        <f t="shared" si="15"/>
        <v>0</v>
      </c>
      <c r="D125" s="126"/>
      <c r="E125" s="126">
        <f t="shared" ref="E125:E131" si="30">SUM(F125:N125)</f>
        <v>0</v>
      </c>
      <c r="F125" s="127"/>
      <c r="G125" s="126"/>
      <c r="H125" s="126"/>
      <c r="I125" s="126"/>
      <c r="J125" s="126"/>
      <c r="K125" s="126"/>
      <c r="L125" s="126"/>
      <c r="M125" s="126"/>
      <c r="N125" s="126"/>
      <c r="O125" s="123">
        <f t="shared" si="17"/>
        <v>245</v>
      </c>
      <c r="P125" s="123">
        <f t="shared" si="18"/>
        <v>0</v>
      </c>
      <c r="Q125" s="123">
        <f t="shared" si="19"/>
        <v>245</v>
      </c>
      <c r="R125" s="126"/>
      <c r="S125" s="126"/>
      <c r="T125" s="126"/>
      <c r="U125" s="123">
        <f t="shared" si="20"/>
        <v>245</v>
      </c>
      <c r="V125" s="126">
        <f t="shared" ref="V125:V131" si="31">SUM(W125:AE125)</f>
        <v>245</v>
      </c>
      <c r="W125" s="127"/>
      <c r="X125" s="126">
        <v>245</v>
      </c>
      <c r="Y125" s="126"/>
      <c r="Z125" s="126"/>
      <c r="AA125" s="126"/>
      <c r="AB125" s="126"/>
      <c r="AC125" s="126"/>
      <c r="AD125" s="126"/>
      <c r="AE125" s="126"/>
      <c r="AF125" s="126"/>
      <c r="AG125" s="123"/>
      <c r="AH125" s="123"/>
      <c r="AI125" s="123"/>
    </row>
    <row r="126" spans="1:35" s="115" customFormat="1" ht="24" hidden="1" x14ac:dyDescent="0.25">
      <c r="A126" s="125" t="s">
        <v>513</v>
      </c>
      <c r="B126" s="126" t="s">
        <v>514</v>
      </c>
      <c r="C126" s="123">
        <f t="shared" si="15"/>
        <v>0</v>
      </c>
      <c r="D126" s="126"/>
      <c r="E126" s="126">
        <f t="shared" si="30"/>
        <v>0</v>
      </c>
      <c r="F126" s="127"/>
      <c r="G126" s="126"/>
      <c r="H126" s="126"/>
      <c r="I126" s="126"/>
      <c r="J126" s="126"/>
      <c r="K126" s="126"/>
      <c r="L126" s="126"/>
      <c r="M126" s="126"/>
      <c r="N126" s="126"/>
      <c r="O126" s="123">
        <f t="shared" si="17"/>
        <v>0</v>
      </c>
      <c r="P126" s="123">
        <f t="shared" si="18"/>
        <v>0</v>
      </c>
      <c r="Q126" s="123">
        <f t="shared" si="19"/>
        <v>0</v>
      </c>
      <c r="R126" s="126"/>
      <c r="S126" s="126"/>
      <c r="T126" s="126"/>
      <c r="U126" s="123">
        <f t="shared" si="20"/>
        <v>0</v>
      </c>
      <c r="V126" s="126">
        <f t="shared" si="31"/>
        <v>0</v>
      </c>
      <c r="W126" s="127"/>
      <c r="X126" s="126"/>
      <c r="Y126" s="126"/>
      <c r="Z126" s="126"/>
      <c r="AA126" s="126"/>
      <c r="AB126" s="126"/>
      <c r="AC126" s="126"/>
      <c r="AD126" s="126"/>
      <c r="AE126" s="126"/>
      <c r="AF126" s="126"/>
      <c r="AG126" s="123"/>
      <c r="AH126" s="123"/>
      <c r="AI126" s="123"/>
    </row>
    <row r="127" spans="1:35" s="115" customFormat="1" ht="24" hidden="1" x14ac:dyDescent="0.25">
      <c r="A127" s="125" t="s">
        <v>515</v>
      </c>
      <c r="B127" s="126" t="s">
        <v>516</v>
      </c>
      <c r="C127" s="123">
        <f t="shared" si="15"/>
        <v>0</v>
      </c>
      <c r="D127" s="126"/>
      <c r="E127" s="126">
        <f t="shared" si="30"/>
        <v>0</v>
      </c>
      <c r="F127" s="127"/>
      <c r="G127" s="126"/>
      <c r="H127" s="126"/>
      <c r="I127" s="126"/>
      <c r="J127" s="126"/>
      <c r="K127" s="126"/>
      <c r="L127" s="126"/>
      <c r="M127" s="126"/>
      <c r="N127" s="126"/>
      <c r="O127" s="123">
        <f t="shared" si="17"/>
        <v>0</v>
      </c>
      <c r="P127" s="123">
        <f t="shared" si="18"/>
        <v>0</v>
      </c>
      <c r="Q127" s="123">
        <f t="shared" si="19"/>
        <v>0</v>
      </c>
      <c r="R127" s="126"/>
      <c r="S127" s="126"/>
      <c r="T127" s="126"/>
      <c r="U127" s="123">
        <f t="shared" si="20"/>
        <v>0</v>
      </c>
      <c r="V127" s="126">
        <f t="shared" si="31"/>
        <v>0</v>
      </c>
      <c r="W127" s="127"/>
      <c r="X127" s="126"/>
      <c r="Y127" s="126"/>
      <c r="Z127" s="126"/>
      <c r="AA127" s="126"/>
      <c r="AB127" s="126"/>
      <c r="AC127" s="126"/>
      <c r="AD127" s="126"/>
      <c r="AE127" s="126"/>
      <c r="AF127" s="126"/>
      <c r="AG127" s="123"/>
      <c r="AH127" s="123"/>
      <c r="AI127" s="123"/>
    </row>
    <row r="128" spans="1:35" s="115" customFormat="1" ht="24" hidden="1" x14ac:dyDescent="0.25">
      <c r="A128" s="125" t="s">
        <v>517</v>
      </c>
      <c r="B128" s="126" t="s">
        <v>518</v>
      </c>
      <c r="C128" s="123">
        <f t="shared" si="15"/>
        <v>0</v>
      </c>
      <c r="D128" s="126"/>
      <c r="E128" s="126">
        <f t="shared" si="30"/>
        <v>0</v>
      </c>
      <c r="F128" s="127"/>
      <c r="G128" s="126"/>
      <c r="H128" s="126"/>
      <c r="I128" s="126"/>
      <c r="J128" s="126"/>
      <c r="K128" s="126"/>
      <c r="L128" s="126"/>
      <c r="M128" s="126"/>
      <c r="N128" s="126"/>
      <c r="O128" s="123">
        <f t="shared" si="17"/>
        <v>0</v>
      </c>
      <c r="P128" s="123">
        <f t="shared" si="18"/>
        <v>0</v>
      </c>
      <c r="Q128" s="123">
        <f t="shared" si="19"/>
        <v>0</v>
      </c>
      <c r="R128" s="126"/>
      <c r="S128" s="126"/>
      <c r="T128" s="126"/>
      <c r="U128" s="123">
        <f t="shared" si="20"/>
        <v>0</v>
      </c>
      <c r="V128" s="126">
        <f t="shared" si="31"/>
        <v>0</v>
      </c>
      <c r="W128" s="127"/>
      <c r="X128" s="126"/>
      <c r="Y128" s="126"/>
      <c r="Z128" s="126"/>
      <c r="AA128" s="126"/>
      <c r="AB128" s="126"/>
      <c r="AC128" s="126"/>
      <c r="AD128" s="126"/>
      <c r="AE128" s="126"/>
      <c r="AF128" s="126"/>
      <c r="AG128" s="123"/>
      <c r="AH128" s="123"/>
      <c r="AI128" s="123"/>
    </row>
    <row r="129" spans="1:35" s="115" customFormat="1" ht="15" hidden="1" x14ac:dyDescent="0.25">
      <c r="A129" s="125" t="s">
        <v>322</v>
      </c>
      <c r="B129" s="126" t="s">
        <v>519</v>
      </c>
      <c r="C129" s="123">
        <f t="shared" si="15"/>
        <v>3</v>
      </c>
      <c r="D129" s="126"/>
      <c r="E129" s="126">
        <f t="shared" si="30"/>
        <v>3</v>
      </c>
      <c r="F129" s="127"/>
      <c r="G129" s="126"/>
      <c r="H129" s="126"/>
      <c r="I129" s="126"/>
      <c r="J129" s="126"/>
      <c r="K129" s="126"/>
      <c r="L129" s="126">
        <v>3</v>
      </c>
      <c r="M129" s="126"/>
      <c r="N129" s="126"/>
      <c r="O129" s="123">
        <f t="shared" si="17"/>
        <v>51</v>
      </c>
      <c r="P129" s="123">
        <f t="shared" si="18"/>
        <v>0</v>
      </c>
      <c r="Q129" s="123">
        <f t="shared" si="19"/>
        <v>51</v>
      </c>
      <c r="R129" s="126"/>
      <c r="S129" s="126"/>
      <c r="T129" s="126"/>
      <c r="U129" s="123">
        <f t="shared" si="20"/>
        <v>51</v>
      </c>
      <c r="V129" s="126">
        <f t="shared" si="31"/>
        <v>51</v>
      </c>
      <c r="W129" s="127"/>
      <c r="X129" s="126">
        <v>48</v>
      </c>
      <c r="Y129" s="126"/>
      <c r="Z129" s="126"/>
      <c r="AA129" s="126"/>
      <c r="AB129" s="126"/>
      <c r="AC129" s="126">
        <v>3</v>
      </c>
      <c r="AD129" s="126"/>
      <c r="AE129" s="126"/>
      <c r="AF129" s="126"/>
      <c r="AG129" s="123"/>
      <c r="AH129" s="123"/>
      <c r="AI129" s="123"/>
    </row>
    <row r="130" spans="1:35" s="115" customFormat="1" ht="15" hidden="1" x14ac:dyDescent="0.25">
      <c r="A130" s="125" t="s">
        <v>520</v>
      </c>
      <c r="B130" s="126" t="s">
        <v>521</v>
      </c>
      <c r="C130" s="123">
        <f t="shared" si="15"/>
        <v>0</v>
      </c>
      <c r="D130" s="126"/>
      <c r="E130" s="126">
        <f t="shared" si="30"/>
        <v>0</v>
      </c>
      <c r="F130" s="127"/>
      <c r="G130" s="126"/>
      <c r="H130" s="126"/>
      <c r="I130" s="126"/>
      <c r="J130" s="126"/>
      <c r="K130" s="126"/>
      <c r="L130" s="126"/>
      <c r="M130" s="126"/>
      <c r="N130" s="126"/>
      <c r="O130" s="123">
        <f t="shared" si="17"/>
        <v>37</v>
      </c>
      <c r="P130" s="123">
        <f t="shared" si="18"/>
        <v>0</v>
      </c>
      <c r="Q130" s="123">
        <f t="shared" si="19"/>
        <v>37</v>
      </c>
      <c r="R130" s="126"/>
      <c r="S130" s="126"/>
      <c r="T130" s="126"/>
      <c r="U130" s="123">
        <f t="shared" si="20"/>
        <v>37</v>
      </c>
      <c r="V130" s="126">
        <f t="shared" si="31"/>
        <v>37</v>
      </c>
      <c r="W130" s="127"/>
      <c r="X130" s="126">
        <v>37</v>
      </c>
      <c r="Y130" s="126"/>
      <c r="Z130" s="126"/>
      <c r="AA130" s="126"/>
      <c r="AB130" s="126"/>
      <c r="AC130" s="126"/>
      <c r="AD130" s="126"/>
      <c r="AE130" s="126"/>
      <c r="AF130" s="126"/>
      <c r="AG130" s="123"/>
      <c r="AH130" s="123"/>
      <c r="AI130" s="123"/>
    </row>
    <row r="131" spans="1:35" s="115" customFormat="1" ht="24" hidden="1" x14ac:dyDescent="0.25">
      <c r="A131" s="125" t="s">
        <v>522</v>
      </c>
      <c r="B131" s="126" t="s">
        <v>523</v>
      </c>
      <c r="C131" s="123">
        <f t="shared" si="15"/>
        <v>0</v>
      </c>
      <c r="D131" s="126"/>
      <c r="E131" s="126">
        <f t="shared" si="30"/>
        <v>0</v>
      </c>
      <c r="F131" s="127"/>
      <c r="G131" s="126"/>
      <c r="H131" s="126"/>
      <c r="I131" s="126"/>
      <c r="J131" s="126"/>
      <c r="K131" s="126"/>
      <c r="L131" s="126"/>
      <c r="M131" s="126"/>
      <c r="N131" s="126"/>
      <c r="O131" s="123">
        <f t="shared" si="17"/>
        <v>0</v>
      </c>
      <c r="P131" s="123">
        <f t="shared" si="18"/>
        <v>0</v>
      </c>
      <c r="Q131" s="123">
        <f t="shared" si="19"/>
        <v>0</v>
      </c>
      <c r="R131" s="126"/>
      <c r="S131" s="126"/>
      <c r="T131" s="126"/>
      <c r="U131" s="123">
        <f t="shared" si="20"/>
        <v>0</v>
      </c>
      <c r="V131" s="126">
        <f t="shared" si="31"/>
        <v>0</v>
      </c>
      <c r="W131" s="127"/>
      <c r="X131" s="126"/>
      <c r="Y131" s="126"/>
      <c r="Z131" s="126"/>
      <c r="AA131" s="126"/>
      <c r="AB131" s="126"/>
      <c r="AC131" s="126"/>
      <c r="AD131" s="126"/>
      <c r="AE131" s="126"/>
      <c r="AF131" s="126"/>
      <c r="AG131" s="123"/>
      <c r="AH131" s="123"/>
      <c r="AI131" s="123"/>
    </row>
    <row r="132" spans="1:35" s="115" customFormat="1" ht="12.75" customHeight="1" x14ac:dyDescent="0.25">
      <c r="A132" s="117">
        <v>4</v>
      </c>
      <c r="B132" s="123" t="s">
        <v>524</v>
      </c>
      <c r="C132" s="123">
        <f t="shared" si="15"/>
        <v>310</v>
      </c>
      <c r="D132" s="123"/>
      <c r="E132" s="123">
        <v>310</v>
      </c>
      <c r="F132" s="123">
        <f t="shared" ref="F132:AE132" si="32">SUM(F133:F135)</f>
        <v>0</v>
      </c>
      <c r="G132" s="123">
        <f t="shared" si="32"/>
        <v>0</v>
      </c>
      <c r="H132" s="123">
        <f t="shared" si="32"/>
        <v>0</v>
      </c>
      <c r="I132" s="123">
        <f t="shared" si="32"/>
        <v>0</v>
      </c>
      <c r="J132" s="123">
        <f t="shared" si="32"/>
        <v>0</v>
      </c>
      <c r="K132" s="123">
        <f t="shared" si="32"/>
        <v>0</v>
      </c>
      <c r="L132" s="123">
        <f t="shared" si="32"/>
        <v>0</v>
      </c>
      <c r="M132" s="123">
        <f t="shared" si="32"/>
        <v>0</v>
      </c>
      <c r="N132" s="123">
        <f t="shared" si="32"/>
        <v>1183</v>
      </c>
      <c r="O132" s="123">
        <f t="shared" si="17"/>
        <v>682</v>
      </c>
      <c r="P132" s="123">
        <f t="shared" si="18"/>
        <v>0</v>
      </c>
      <c r="Q132" s="123">
        <f t="shared" si="19"/>
        <v>682</v>
      </c>
      <c r="R132" s="123"/>
      <c r="S132" s="123"/>
      <c r="T132" s="123"/>
      <c r="U132" s="123">
        <f t="shared" si="20"/>
        <v>682</v>
      </c>
      <c r="V132" s="123">
        <v>682</v>
      </c>
      <c r="W132" s="123">
        <f t="shared" si="32"/>
        <v>134</v>
      </c>
      <c r="X132" s="123">
        <f t="shared" si="32"/>
        <v>0</v>
      </c>
      <c r="Y132" s="123">
        <f t="shared" si="32"/>
        <v>0</v>
      </c>
      <c r="Z132" s="123">
        <f t="shared" si="32"/>
        <v>0</v>
      </c>
      <c r="AA132" s="123">
        <f t="shared" si="32"/>
        <v>0</v>
      </c>
      <c r="AB132" s="123">
        <f t="shared" si="32"/>
        <v>0</v>
      </c>
      <c r="AC132" s="123">
        <f t="shared" si="32"/>
        <v>0</v>
      </c>
      <c r="AD132" s="123">
        <f t="shared" si="32"/>
        <v>0</v>
      </c>
      <c r="AE132" s="123">
        <f t="shared" si="32"/>
        <v>447</v>
      </c>
      <c r="AF132" s="123"/>
      <c r="AG132" s="123"/>
      <c r="AH132" s="123"/>
      <c r="AI132" s="123"/>
    </row>
    <row r="133" spans="1:35" s="115" customFormat="1" ht="15" hidden="1" x14ac:dyDescent="0.25">
      <c r="A133" s="125" t="s">
        <v>417</v>
      </c>
      <c r="B133" s="126" t="s">
        <v>434</v>
      </c>
      <c r="C133" s="123">
        <f t="shared" si="15"/>
        <v>1143</v>
      </c>
      <c r="D133" s="126"/>
      <c r="E133" s="126">
        <f>SUM(F133:N133)</f>
        <v>1143</v>
      </c>
      <c r="F133" s="127"/>
      <c r="G133" s="126"/>
      <c r="H133" s="126"/>
      <c r="I133" s="126"/>
      <c r="J133" s="126"/>
      <c r="K133" s="126"/>
      <c r="L133" s="126"/>
      <c r="M133" s="126"/>
      <c r="N133" s="126">
        <v>1143</v>
      </c>
      <c r="O133" s="123">
        <f t="shared" si="17"/>
        <v>581</v>
      </c>
      <c r="P133" s="123">
        <f t="shared" si="18"/>
        <v>0</v>
      </c>
      <c r="Q133" s="123">
        <f t="shared" si="19"/>
        <v>581</v>
      </c>
      <c r="R133" s="126"/>
      <c r="S133" s="126"/>
      <c r="T133" s="126"/>
      <c r="U133" s="123">
        <f t="shared" si="20"/>
        <v>581</v>
      </c>
      <c r="V133" s="126">
        <f>SUM(W133:AE133)</f>
        <v>581</v>
      </c>
      <c r="W133" s="127">
        <v>134</v>
      </c>
      <c r="X133" s="126"/>
      <c r="Y133" s="126"/>
      <c r="Z133" s="126"/>
      <c r="AA133" s="126"/>
      <c r="AB133" s="126"/>
      <c r="AC133" s="126"/>
      <c r="AD133" s="126"/>
      <c r="AE133" s="126">
        <v>447</v>
      </c>
      <c r="AF133" s="126"/>
      <c r="AG133" s="123"/>
      <c r="AH133" s="123"/>
      <c r="AI133" s="123"/>
    </row>
    <row r="134" spans="1:35" s="115" customFormat="1" ht="15" hidden="1" x14ac:dyDescent="0.25">
      <c r="A134" s="125" t="s">
        <v>419</v>
      </c>
      <c r="B134" s="126" t="s">
        <v>525</v>
      </c>
      <c r="C134" s="123">
        <f t="shared" si="15"/>
        <v>40</v>
      </c>
      <c r="D134" s="126"/>
      <c r="E134" s="126">
        <f>SUM(F134:N134)</f>
        <v>40</v>
      </c>
      <c r="F134" s="127"/>
      <c r="G134" s="126"/>
      <c r="H134" s="126"/>
      <c r="I134" s="126"/>
      <c r="J134" s="126"/>
      <c r="K134" s="126"/>
      <c r="L134" s="126"/>
      <c r="M134" s="126"/>
      <c r="N134" s="126">
        <v>40</v>
      </c>
      <c r="O134" s="123">
        <f t="shared" si="17"/>
        <v>0</v>
      </c>
      <c r="P134" s="123">
        <f t="shared" si="18"/>
        <v>0</v>
      </c>
      <c r="Q134" s="123">
        <f t="shared" si="19"/>
        <v>0</v>
      </c>
      <c r="R134" s="126"/>
      <c r="S134" s="126"/>
      <c r="T134" s="126"/>
      <c r="U134" s="123">
        <f t="shared" si="20"/>
        <v>0</v>
      </c>
      <c r="V134" s="126">
        <f>SUM(W134:AE134)</f>
        <v>0</v>
      </c>
      <c r="W134" s="127"/>
      <c r="X134" s="126"/>
      <c r="Y134" s="126"/>
      <c r="Z134" s="126"/>
      <c r="AA134" s="126"/>
      <c r="AB134" s="126"/>
      <c r="AC134" s="126"/>
      <c r="AD134" s="126"/>
      <c r="AE134" s="126"/>
      <c r="AF134" s="126"/>
      <c r="AG134" s="123"/>
      <c r="AH134" s="123"/>
      <c r="AI134" s="123"/>
    </row>
    <row r="135" spans="1:35" s="115" customFormat="1" ht="24" hidden="1" x14ac:dyDescent="0.25">
      <c r="A135" s="125" t="s">
        <v>526</v>
      </c>
      <c r="B135" s="126" t="s">
        <v>527</v>
      </c>
      <c r="C135" s="123">
        <f t="shared" si="15"/>
        <v>0</v>
      </c>
      <c r="D135" s="126"/>
      <c r="E135" s="126">
        <f>SUM(F135:N135)</f>
        <v>0</v>
      </c>
      <c r="F135" s="127"/>
      <c r="G135" s="126"/>
      <c r="H135" s="126"/>
      <c r="I135" s="126"/>
      <c r="J135" s="126"/>
      <c r="K135" s="126"/>
      <c r="L135" s="126"/>
      <c r="M135" s="126"/>
      <c r="N135" s="126"/>
      <c r="O135" s="123">
        <f t="shared" si="17"/>
        <v>0</v>
      </c>
      <c r="P135" s="123">
        <f t="shared" si="18"/>
        <v>0</v>
      </c>
      <c r="Q135" s="123">
        <f t="shared" si="19"/>
        <v>0</v>
      </c>
      <c r="R135" s="126"/>
      <c r="S135" s="126"/>
      <c r="T135" s="126"/>
      <c r="U135" s="123">
        <f t="shared" si="20"/>
        <v>0</v>
      </c>
      <c r="V135" s="126">
        <f>SUM(W135:AE135)</f>
        <v>0</v>
      </c>
      <c r="W135" s="127"/>
      <c r="X135" s="126"/>
      <c r="Y135" s="126"/>
      <c r="Z135" s="126"/>
      <c r="AA135" s="126"/>
      <c r="AB135" s="126"/>
      <c r="AC135" s="126"/>
      <c r="AD135" s="126"/>
      <c r="AE135" s="126"/>
      <c r="AF135" s="126"/>
      <c r="AG135" s="123"/>
      <c r="AH135" s="123"/>
      <c r="AI135" s="123"/>
    </row>
    <row r="136" spans="1:35" s="115" customFormat="1" ht="12" x14ac:dyDescent="0.25">
      <c r="A136" s="117">
        <v>5</v>
      </c>
      <c r="B136" s="123" t="s">
        <v>528</v>
      </c>
      <c r="C136" s="123">
        <f t="shared" si="15"/>
        <v>160</v>
      </c>
      <c r="D136" s="123"/>
      <c r="E136" s="123">
        <v>160</v>
      </c>
      <c r="F136" s="123">
        <f t="shared" ref="F136:AE136" si="33">SUM(F137:F139)</f>
        <v>0</v>
      </c>
      <c r="G136" s="123">
        <f t="shared" si="33"/>
        <v>0</v>
      </c>
      <c r="H136" s="123">
        <f t="shared" si="33"/>
        <v>0</v>
      </c>
      <c r="I136" s="123">
        <f t="shared" si="33"/>
        <v>0</v>
      </c>
      <c r="J136" s="123">
        <f t="shared" si="33"/>
        <v>0</v>
      </c>
      <c r="K136" s="123">
        <f t="shared" si="33"/>
        <v>0</v>
      </c>
      <c r="L136" s="123">
        <f t="shared" si="33"/>
        <v>300</v>
      </c>
      <c r="M136" s="123">
        <f t="shared" si="33"/>
        <v>0</v>
      </c>
      <c r="N136" s="123">
        <f t="shared" si="33"/>
        <v>0</v>
      </c>
      <c r="O136" s="123">
        <f t="shared" si="17"/>
        <v>232</v>
      </c>
      <c r="P136" s="123">
        <f t="shared" si="18"/>
        <v>73</v>
      </c>
      <c r="Q136" s="123">
        <f t="shared" si="19"/>
        <v>159</v>
      </c>
      <c r="R136" s="123">
        <f>S136</f>
        <v>73</v>
      </c>
      <c r="S136" s="123">
        <v>73</v>
      </c>
      <c r="T136" s="123"/>
      <c r="U136" s="123">
        <f t="shared" si="20"/>
        <v>159</v>
      </c>
      <c r="V136" s="123">
        <v>159</v>
      </c>
      <c r="W136" s="123">
        <f t="shared" si="33"/>
        <v>0</v>
      </c>
      <c r="X136" s="123">
        <f t="shared" si="33"/>
        <v>0</v>
      </c>
      <c r="Y136" s="123">
        <f t="shared" si="33"/>
        <v>0</v>
      </c>
      <c r="Z136" s="123">
        <f t="shared" si="33"/>
        <v>0</v>
      </c>
      <c r="AA136" s="123">
        <f t="shared" si="33"/>
        <v>0</v>
      </c>
      <c r="AB136" s="123">
        <f t="shared" si="33"/>
        <v>0</v>
      </c>
      <c r="AC136" s="123">
        <f t="shared" si="33"/>
        <v>268</v>
      </c>
      <c r="AD136" s="123">
        <f t="shared" si="33"/>
        <v>0</v>
      </c>
      <c r="AE136" s="123">
        <f t="shared" si="33"/>
        <v>0</v>
      </c>
      <c r="AF136" s="123"/>
      <c r="AG136" s="123"/>
      <c r="AH136" s="123"/>
      <c r="AI136" s="123"/>
    </row>
    <row r="137" spans="1:35" s="115" customFormat="1" ht="15" hidden="1" x14ac:dyDescent="0.25">
      <c r="A137" s="125" t="s">
        <v>421</v>
      </c>
      <c r="B137" s="126" t="s">
        <v>434</v>
      </c>
      <c r="C137" s="123">
        <f t="shared" si="15"/>
        <v>300</v>
      </c>
      <c r="D137" s="126"/>
      <c r="E137" s="126">
        <f>SUM(F137:N137)</f>
        <v>300</v>
      </c>
      <c r="F137" s="127"/>
      <c r="G137" s="126"/>
      <c r="H137" s="126"/>
      <c r="I137" s="126"/>
      <c r="J137" s="126"/>
      <c r="K137" s="126"/>
      <c r="L137" s="126">
        <v>300</v>
      </c>
      <c r="M137" s="126"/>
      <c r="N137" s="126"/>
      <c r="O137" s="123">
        <f t="shared" si="17"/>
        <v>268</v>
      </c>
      <c r="P137" s="123">
        <f t="shared" si="18"/>
        <v>0</v>
      </c>
      <c r="Q137" s="123">
        <f t="shared" si="19"/>
        <v>268</v>
      </c>
      <c r="R137" s="126"/>
      <c r="S137" s="126"/>
      <c r="T137" s="126"/>
      <c r="U137" s="123">
        <f t="shared" si="20"/>
        <v>268</v>
      </c>
      <c r="V137" s="126">
        <f>SUM(W137:AE137)</f>
        <v>268</v>
      </c>
      <c r="W137" s="127"/>
      <c r="X137" s="126"/>
      <c r="Y137" s="126"/>
      <c r="Z137" s="126"/>
      <c r="AA137" s="126"/>
      <c r="AB137" s="126"/>
      <c r="AC137" s="126">
        <v>268</v>
      </c>
      <c r="AD137" s="126"/>
      <c r="AE137" s="126"/>
      <c r="AF137" s="126"/>
      <c r="AG137" s="123"/>
      <c r="AH137" s="123"/>
      <c r="AI137" s="123"/>
    </row>
    <row r="138" spans="1:35" s="115" customFormat="1" ht="24" hidden="1" x14ac:dyDescent="0.25">
      <c r="A138" s="125" t="s">
        <v>529</v>
      </c>
      <c r="B138" s="126" t="s">
        <v>530</v>
      </c>
      <c r="C138" s="123">
        <f t="shared" si="15"/>
        <v>0</v>
      </c>
      <c r="D138" s="126"/>
      <c r="E138" s="126">
        <f>SUM(F138:N138)</f>
        <v>0</v>
      </c>
      <c r="F138" s="127"/>
      <c r="G138" s="126"/>
      <c r="H138" s="126"/>
      <c r="I138" s="126"/>
      <c r="J138" s="126"/>
      <c r="K138" s="126"/>
      <c r="L138" s="126"/>
      <c r="M138" s="126"/>
      <c r="N138" s="126"/>
      <c r="O138" s="123">
        <f t="shared" si="17"/>
        <v>0</v>
      </c>
      <c r="P138" s="123">
        <f t="shared" si="18"/>
        <v>0</v>
      </c>
      <c r="Q138" s="123">
        <f t="shared" si="19"/>
        <v>0</v>
      </c>
      <c r="R138" s="126"/>
      <c r="S138" s="126"/>
      <c r="T138" s="126"/>
      <c r="U138" s="123">
        <f t="shared" si="20"/>
        <v>0</v>
      </c>
      <c r="V138" s="126">
        <f>SUM(W138:AE138)</f>
        <v>0</v>
      </c>
      <c r="W138" s="127"/>
      <c r="X138" s="126"/>
      <c r="Y138" s="126"/>
      <c r="Z138" s="126"/>
      <c r="AA138" s="126"/>
      <c r="AB138" s="126"/>
      <c r="AC138" s="126"/>
      <c r="AD138" s="126"/>
      <c r="AE138" s="126"/>
      <c r="AF138" s="126"/>
      <c r="AG138" s="123"/>
      <c r="AH138" s="123"/>
      <c r="AI138" s="123"/>
    </row>
    <row r="139" spans="1:35" s="115" customFormat="1" ht="24" hidden="1" x14ac:dyDescent="0.25">
      <c r="A139" s="125" t="s">
        <v>531</v>
      </c>
      <c r="B139" s="126" t="s">
        <v>532</v>
      </c>
      <c r="C139" s="123">
        <f t="shared" si="15"/>
        <v>0</v>
      </c>
      <c r="D139" s="126"/>
      <c r="E139" s="126">
        <f>SUM(F139:N139)</f>
        <v>0</v>
      </c>
      <c r="F139" s="127"/>
      <c r="G139" s="126"/>
      <c r="H139" s="126"/>
      <c r="I139" s="126"/>
      <c r="J139" s="126"/>
      <c r="K139" s="126"/>
      <c r="L139" s="126"/>
      <c r="M139" s="126"/>
      <c r="N139" s="126"/>
      <c r="O139" s="123">
        <f t="shared" si="17"/>
        <v>0</v>
      </c>
      <c r="P139" s="123">
        <f t="shared" si="18"/>
        <v>0</v>
      </c>
      <c r="Q139" s="123">
        <f t="shared" si="19"/>
        <v>0</v>
      </c>
      <c r="R139" s="126"/>
      <c r="S139" s="126"/>
      <c r="T139" s="126"/>
      <c r="U139" s="123">
        <f t="shared" si="20"/>
        <v>0</v>
      </c>
      <c r="V139" s="126">
        <f>SUM(W139:AE139)</f>
        <v>0</v>
      </c>
      <c r="W139" s="127"/>
      <c r="X139" s="126"/>
      <c r="Y139" s="126"/>
      <c r="Z139" s="126"/>
      <c r="AA139" s="126"/>
      <c r="AB139" s="126"/>
      <c r="AC139" s="126"/>
      <c r="AD139" s="126"/>
      <c r="AE139" s="126"/>
      <c r="AF139" s="126"/>
      <c r="AG139" s="123"/>
      <c r="AH139" s="123"/>
      <c r="AI139" s="123"/>
    </row>
    <row r="140" spans="1:35" s="115" customFormat="1" ht="12" hidden="1" x14ac:dyDescent="0.25">
      <c r="A140" s="117">
        <v>15</v>
      </c>
      <c r="B140" s="123" t="s">
        <v>533</v>
      </c>
      <c r="C140" s="123">
        <f t="shared" si="15"/>
        <v>0</v>
      </c>
      <c r="D140" s="123"/>
      <c r="E140" s="123">
        <f t="shared" ref="E140:AE140" si="34">SUM(E141:E141)</f>
        <v>0</v>
      </c>
      <c r="F140" s="123">
        <f t="shared" si="34"/>
        <v>0</v>
      </c>
      <c r="G140" s="123">
        <f t="shared" si="34"/>
        <v>0</v>
      </c>
      <c r="H140" s="123">
        <f t="shared" si="34"/>
        <v>0</v>
      </c>
      <c r="I140" s="123">
        <f t="shared" si="34"/>
        <v>0</v>
      </c>
      <c r="J140" s="123">
        <f t="shared" si="34"/>
        <v>0</v>
      </c>
      <c r="K140" s="123">
        <f t="shared" si="34"/>
        <v>0</v>
      </c>
      <c r="L140" s="123">
        <f t="shared" si="34"/>
        <v>0</v>
      </c>
      <c r="M140" s="123">
        <f t="shared" si="34"/>
        <v>0</v>
      </c>
      <c r="N140" s="123">
        <f t="shared" si="34"/>
        <v>0</v>
      </c>
      <c r="O140" s="123">
        <f t="shared" si="17"/>
        <v>0</v>
      </c>
      <c r="P140" s="123">
        <f t="shared" si="18"/>
        <v>0</v>
      </c>
      <c r="Q140" s="123">
        <f t="shared" si="19"/>
        <v>0</v>
      </c>
      <c r="R140" s="123"/>
      <c r="S140" s="123"/>
      <c r="T140" s="123"/>
      <c r="U140" s="123">
        <f t="shared" si="20"/>
        <v>0</v>
      </c>
      <c r="V140" s="123">
        <f t="shared" si="34"/>
        <v>0</v>
      </c>
      <c r="W140" s="123">
        <f t="shared" si="34"/>
        <v>0</v>
      </c>
      <c r="X140" s="123">
        <f t="shared" si="34"/>
        <v>0</v>
      </c>
      <c r="Y140" s="123">
        <f t="shared" si="34"/>
        <v>0</v>
      </c>
      <c r="Z140" s="123">
        <f t="shared" si="34"/>
        <v>0</v>
      </c>
      <c r="AA140" s="123">
        <f t="shared" si="34"/>
        <v>0</v>
      </c>
      <c r="AB140" s="123">
        <f t="shared" si="34"/>
        <v>0</v>
      </c>
      <c r="AC140" s="123">
        <f t="shared" si="34"/>
        <v>0</v>
      </c>
      <c r="AD140" s="123">
        <f t="shared" si="34"/>
        <v>0</v>
      </c>
      <c r="AE140" s="123">
        <f t="shared" si="34"/>
        <v>0</v>
      </c>
      <c r="AF140" s="123"/>
      <c r="AG140" s="123"/>
      <c r="AH140" s="123"/>
      <c r="AI140" s="123"/>
    </row>
    <row r="141" spans="1:35" s="115" customFormat="1" ht="24" hidden="1" x14ac:dyDescent="0.25">
      <c r="A141" s="125" t="s">
        <v>534</v>
      </c>
      <c r="B141" s="126" t="s">
        <v>321</v>
      </c>
      <c r="C141" s="123">
        <f t="shared" si="15"/>
        <v>0</v>
      </c>
      <c r="D141" s="126"/>
      <c r="E141" s="126">
        <f>SUM(F141:N141)</f>
        <v>0</v>
      </c>
      <c r="F141" s="127"/>
      <c r="G141" s="126"/>
      <c r="H141" s="126"/>
      <c r="I141" s="126"/>
      <c r="J141" s="126"/>
      <c r="K141" s="126"/>
      <c r="L141" s="126"/>
      <c r="M141" s="126"/>
      <c r="N141" s="126"/>
      <c r="O141" s="123">
        <f t="shared" si="17"/>
        <v>0</v>
      </c>
      <c r="P141" s="123">
        <f t="shared" si="18"/>
        <v>0</v>
      </c>
      <c r="Q141" s="123">
        <f t="shared" si="19"/>
        <v>0</v>
      </c>
      <c r="R141" s="126"/>
      <c r="S141" s="126"/>
      <c r="T141" s="126"/>
      <c r="U141" s="123">
        <f t="shared" si="20"/>
        <v>0</v>
      </c>
      <c r="V141" s="126">
        <f>SUM(W141:AE141)</f>
        <v>0</v>
      </c>
      <c r="W141" s="127"/>
      <c r="X141" s="126"/>
      <c r="Y141" s="126"/>
      <c r="Z141" s="126"/>
      <c r="AA141" s="126"/>
      <c r="AB141" s="126"/>
      <c r="AC141" s="126"/>
      <c r="AD141" s="126"/>
      <c r="AE141" s="126"/>
      <c r="AF141" s="126"/>
      <c r="AG141" s="123"/>
      <c r="AH141" s="123"/>
      <c r="AI141" s="123"/>
    </row>
    <row r="142" spans="1:35" s="115" customFormat="1" ht="12" x14ac:dyDescent="0.25">
      <c r="A142" s="117">
        <v>6</v>
      </c>
      <c r="B142" s="123" t="s">
        <v>535</v>
      </c>
      <c r="C142" s="123">
        <f t="shared" si="15"/>
        <v>368</v>
      </c>
      <c r="D142" s="123"/>
      <c r="E142" s="123">
        <v>368</v>
      </c>
      <c r="F142" s="123">
        <f t="shared" ref="F142:AE142" si="35">SUM(F143:F143)</f>
        <v>0</v>
      </c>
      <c r="G142" s="123">
        <f t="shared" si="35"/>
        <v>0</v>
      </c>
      <c r="H142" s="123">
        <f t="shared" si="35"/>
        <v>0</v>
      </c>
      <c r="I142" s="123">
        <f t="shared" si="35"/>
        <v>0</v>
      </c>
      <c r="J142" s="123">
        <f t="shared" si="35"/>
        <v>0</v>
      </c>
      <c r="K142" s="123">
        <f t="shared" si="35"/>
        <v>0</v>
      </c>
      <c r="L142" s="123">
        <f t="shared" si="35"/>
        <v>0</v>
      </c>
      <c r="M142" s="123">
        <f t="shared" si="35"/>
        <v>0</v>
      </c>
      <c r="N142" s="123">
        <f t="shared" si="35"/>
        <v>324</v>
      </c>
      <c r="O142" s="123">
        <f t="shared" si="17"/>
        <v>368</v>
      </c>
      <c r="P142" s="123">
        <f t="shared" si="18"/>
        <v>0</v>
      </c>
      <c r="Q142" s="123">
        <f t="shared" si="19"/>
        <v>368</v>
      </c>
      <c r="R142" s="123"/>
      <c r="S142" s="123"/>
      <c r="T142" s="123"/>
      <c r="U142" s="123">
        <f t="shared" si="20"/>
        <v>368</v>
      </c>
      <c r="V142" s="123">
        <v>368</v>
      </c>
      <c r="W142" s="123">
        <f t="shared" si="35"/>
        <v>0</v>
      </c>
      <c r="X142" s="123">
        <f t="shared" si="35"/>
        <v>0</v>
      </c>
      <c r="Y142" s="123">
        <f t="shared" si="35"/>
        <v>0</v>
      </c>
      <c r="Z142" s="123">
        <f t="shared" si="35"/>
        <v>0</v>
      </c>
      <c r="AA142" s="123">
        <f t="shared" si="35"/>
        <v>0</v>
      </c>
      <c r="AB142" s="123">
        <f t="shared" si="35"/>
        <v>0</v>
      </c>
      <c r="AC142" s="123">
        <f t="shared" si="35"/>
        <v>0</v>
      </c>
      <c r="AD142" s="123">
        <f t="shared" si="35"/>
        <v>0</v>
      </c>
      <c r="AE142" s="123">
        <f t="shared" si="35"/>
        <v>140</v>
      </c>
      <c r="AF142" s="123"/>
      <c r="AG142" s="123"/>
      <c r="AH142" s="123"/>
      <c r="AI142" s="123"/>
    </row>
    <row r="143" spans="1:35" s="115" customFormat="1" ht="15" hidden="1" x14ac:dyDescent="0.25">
      <c r="A143" s="125" t="s">
        <v>427</v>
      </c>
      <c r="B143" s="126" t="s">
        <v>321</v>
      </c>
      <c r="C143" s="123">
        <f t="shared" ref="C143:C159" si="36">D143+E143</f>
        <v>324</v>
      </c>
      <c r="D143" s="126"/>
      <c r="E143" s="126">
        <f>SUM(F143:N143)</f>
        <v>324</v>
      </c>
      <c r="F143" s="127"/>
      <c r="G143" s="126"/>
      <c r="H143" s="126"/>
      <c r="I143" s="126"/>
      <c r="J143" s="126"/>
      <c r="K143" s="126"/>
      <c r="L143" s="126"/>
      <c r="M143" s="126"/>
      <c r="N143" s="126">
        <v>324</v>
      </c>
      <c r="O143" s="123">
        <f t="shared" ref="O143:O159" si="37">P143+Q143</f>
        <v>140</v>
      </c>
      <c r="P143" s="123">
        <f t="shared" ref="P143:P159" si="38">R143</f>
        <v>0</v>
      </c>
      <c r="Q143" s="123">
        <f t="shared" ref="Q143:Q159" si="39">U143</f>
        <v>140</v>
      </c>
      <c r="R143" s="126"/>
      <c r="S143" s="126"/>
      <c r="T143" s="126"/>
      <c r="U143" s="123">
        <f t="shared" ref="U143:U159" si="40">V143+AF143</f>
        <v>140</v>
      </c>
      <c r="V143" s="126">
        <f>SUM(W143:AE143)</f>
        <v>140</v>
      </c>
      <c r="W143" s="127"/>
      <c r="X143" s="126"/>
      <c r="Y143" s="126"/>
      <c r="Z143" s="126"/>
      <c r="AA143" s="126"/>
      <c r="AB143" s="126"/>
      <c r="AC143" s="126"/>
      <c r="AD143" s="126"/>
      <c r="AE143" s="126">
        <v>140</v>
      </c>
      <c r="AF143" s="126"/>
      <c r="AG143" s="123"/>
      <c r="AH143" s="123"/>
      <c r="AI143" s="123"/>
    </row>
    <row r="144" spans="1:35" s="115" customFormat="1" ht="12" x14ac:dyDescent="0.25">
      <c r="A144" s="117">
        <v>7</v>
      </c>
      <c r="B144" s="123" t="s">
        <v>536</v>
      </c>
      <c r="C144" s="123">
        <f t="shared" si="36"/>
        <v>500</v>
      </c>
      <c r="D144" s="123"/>
      <c r="E144" s="123">
        <v>500</v>
      </c>
      <c r="F144" s="123">
        <f t="shared" ref="F144:AE144" si="41">SUM(F145:F146)</f>
        <v>0</v>
      </c>
      <c r="G144" s="123">
        <f t="shared" si="41"/>
        <v>0</v>
      </c>
      <c r="H144" s="123">
        <f t="shared" si="41"/>
        <v>0</v>
      </c>
      <c r="I144" s="123">
        <f t="shared" si="41"/>
        <v>0</v>
      </c>
      <c r="J144" s="123">
        <f t="shared" si="41"/>
        <v>0</v>
      </c>
      <c r="K144" s="123">
        <f t="shared" si="41"/>
        <v>0</v>
      </c>
      <c r="L144" s="123">
        <f t="shared" si="41"/>
        <v>600</v>
      </c>
      <c r="M144" s="123">
        <f t="shared" si="41"/>
        <v>0</v>
      </c>
      <c r="N144" s="123">
        <f t="shared" si="41"/>
        <v>0</v>
      </c>
      <c r="O144" s="123">
        <f t="shared" si="37"/>
        <v>364</v>
      </c>
      <c r="P144" s="123">
        <f t="shared" si="38"/>
        <v>0</v>
      </c>
      <c r="Q144" s="123">
        <f t="shared" si="39"/>
        <v>364</v>
      </c>
      <c r="R144" s="123"/>
      <c r="S144" s="123"/>
      <c r="T144" s="123"/>
      <c r="U144" s="123">
        <f t="shared" si="40"/>
        <v>364</v>
      </c>
      <c r="V144" s="123">
        <v>364</v>
      </c>
      <c r="W144" s="123">
        <f t="shared" si="41"/>
        <v>0</v>
      </c>
      <c r="X144" s="123">
        <f t="shared" si="41"/>
        <v>0</v>
      </c>
      <c r="Y144" s="123">
        <f t="shared" si="41"/>
        <v>0</v>
      </c>
      <c r="Z144" s="123">
        <f t="shared" si="41"/>
        <v>0</v>
      </c>
      <c r="AA144" s="123">
        <f t="shared" si="41"/>
        <v>0</v>
      </c>
      <c r="AB144" s="123">
        <f t="shared" si="41"/>
        <v>0</v>
      </c>
      <c r="AC144" s="123">
        <f t="shared" si="41"/>
        <v>642</v>
      </c>
      <c r="AD144" s="123">
        <f t="shared" si="41"/>
        <v>0</v>
      </c>
      <c r="AE144" s="123">
        <f t="shared" si="41"/>
        <v>0</v>
      </c>
      <c r="AF144" s="123"/>
      <c r="AG144" s="123"/>
      <c r="AH144" s="123"/>
      <c r="AI144" s="123"/>
    </row>
    <row r="145" spans="1:35" s="115" customFormat="1" ht="15" hidden="1" x14ac:dyDescent="0.25">
      <c r="A145" s="125" t="s">
        <v>433</v>
      </c>
      <c r="B145" s="126" t="s">
        <v>321</v>
      </c>
      <c r="C145" s="123">
        <f t="shared" si="36"/>
        <v>600</v>
      </c>
      <c r="D145" s="126"/>
      <c r="E145" s="126">
        <f>SUM(F145:N145)</f>
        <v>600</v>
      </c>
      <c r="F145" s="127"/>
      <c r="G145" s="126"/>
      <c r="H145" s="126"/>
      <c r="I145" s="126"/>
      <c r="J145" s="126"/>
      <c r="K145" s="126"/>
      <c r="L145" s="126">
        <v>600</v>
      </c>
      <c r="M145" s="126"/>
      <c r="N145" s="126"/>
      <c r="O145" s="123">
        <f t="shared" si="37"/>
        <v>642</v>
      </c>
      <c r="P145" s="123">
        <f t="shared" si="38"/>
        <v>0</v>
      </c>
      <c r="Q145" s="123">
        <f t="shared" si="39"/>
        <v>642</v>
      </c>
      <c r="R145" s="126"/>
      <c r="S145" s="126"/>
      <c r="T145" s="126"/>
      <c r="U145" s="123">
        <f t="shared" si="40"/>
        <v>642</v>
      </c>
      <c r="V145" s="126">
        <f>SUM(W145:AE145)</f>
        <v>642</v>
      </c>
      <c r="W145" s="127"/>
      <c r="X145" s="126"/>
      <c r="Y145" s="126"/>
      <c r="Z145" s="126"/>
      <c r="AA145" s="126"/>
      <c r="AB145" s="126"/>
      <c r="AC145" s="126">
        <v>642</v>
      </c>
      <c r="AD145" s="126"/>
      <c r="AE145" s="126"/>
      <c r="AF145" s="126"/>
      <c r="AG145" s="123"/>
      <c r="AH145" s="123"/>
      <c r="AI145" s="123"/>
    </row>
    <row r="146" spans="1:35" s="115" customFormat="1" ht="24" hidden="1" x14ac:dyDescent="0.25">
      <c r="A146" s="125" t="s">
        <v>537</v>
      </c>
      <c r="B146" s="126" t="s">
        <v>538</v>
      </c>
      <c r="C146" s="123">
        <f t="shared" si="36"/>
        <v>0</v>
      </c>
      <c r="D146" s="126"/>
      <c r="E146" s="126">
        <f>SUM(F146:N146)</f>
        <v>0</v>
      </c>
      <c r="F146" s="127"/>
      <c r="G146" s="126"/>
      <c r="H146" s="126"/>
      <c r="I146" s="126"/>
      <c r="J146" s="126"/>
      <c r="K146" s="126"/>
      <c r="L146" s="126"/>
      <c r="M146" s="126"/>
      <c r="N146" s="126"/>
      <c r="O146" s="123">
        <f t="shared" si="37"/>
        <v>0</v>
      </c>
      <c r="P146" s="123">
        <f t="shared" si="38"/>
        <v>0</v>
      </c>
      <c r="Q146" s="123">
        <f t="shared" si="39"/>
        <v>0</v>
      </c>
      <c r="R146" s="126"/>
      <c r="S146" s="126"/>
      <c r="T146" s="126"/>
      <c r="U146" s="123">
        <f t="shared" si="40"/>
        <v>0</v>
      </c>
      <c r="V146" s="126">
        <f>SUM(W146:AE146)</f>
        <v>0</v>
      </c>
      <c r="W146" s="127"/>
      <c r="X146" s="126"/>
      <c r="Y146" s="126"/>
      <c r="Z146" s="126"/>
      <c r="AA146" s="126"/>
      <c r="AB146" s="126"/>
      <c r="AC146" s="126"/>
      <c r="AD146" s="126"/>
      <c r="AE146" s="126"/>
      <c r="AF146" s="126"/>
      <c r="AG146" s="123"/>
      <c r="AH146" s="123"/>
      <c r="AI146" s="123"/>
    </row>
    <row r="147" spans="1:35" s="115" customFormat="1" ht="15" hidden="1" x14ac:dyDescent="0.25">
      <c r="A147" s="117">
        <v>18</v>
      </c>
      <c r="B147" s="123" t="s">
        <v>539</v>
      </c>
      <c r="C147" s="123">
        <f t="shared" si="36"/>
        <v>0</v>
      </c>
      <c r="D147" s="123"/>
      <c r="E147" s="123">
        <f>SUM(F147:N147)</f>
        <v>0</v>
      </c>
      <c r="F147" s="124"/>
      <c r="G147" s="123"/>
      <c r="H147" s="123"/>
      <c r="I147" s="123"/>
      <c r="J147" s="123"/>
      <c r="K147" s="123"/>
      <c r="L147" s="123"/>
      <c r="M147" s="123"/>
      <c r="N147" s="123"/>
      <c r="O147" s="123">
        <f t="shared" si="37"/>
        <v>0</v>
      </c>
      <c r="P147" s="123">
        <f t="shared" si="38"/>
        <v>0</v>
      </c>
      <c r="Q147" s="123">
        <f t="shared" si="39"/>
        <v>0</v>
      </c>
      <c r="R147" s="123"/>
      <c r="S147" s="123"/>
      <c r="T147" s="123"/>
      <c r="U147" s="123">
        <f t="shared" si="40"/>
        <v>0</v>
      </c>
      <c r="V147" s="123">
        <f>SUM(W147:AE147)</f>
        <v>0</v>
      </c>
      <c r="W147" s="124"/>
      <c r="X147" s="123"/>
      <c r="Y147" s="123"/>
      <c r="Z147" s="123"/>
      <c r="AA147" s="123"/>
      <c r="AB147" s="123"/>
      <c r="AC147" s="123"/>
      <c r="AD147" s="123"/>
      <c r="AE147" s="123"/>
      <c r="AF147" s="123"/>
      <c r="AG147" s="123"/>
      <c r="AH147" s="123"/>
      <c r="AI147" s="123"/>
    </row>
    <row r="148" spans="1:35" s="115" customFormat="1" ht="15" hidden="1" x14ac:dyDescent="0.25">
      <c r="A148" s="117">
        <v>19</v>
      </c>
      <c r="B148" s="123" t="s">
        <v>215</v>
      </c>
      <c r="C148" s="123">
        <f t="shared" si="36"/>
        <v>0</v>
      </c>
      <c r="D148" s="123"/>
      <c r="E148" s="123">
        <f>SUM(F148:N148)</f>
        <v>0</v>
      </c>
      <c r="F148" s="124"/>
      <c r="G148" s="123"/>
      <c r="H148" s="123"/>
      <c r="I148" s="123"/>
      <c r="J148" s="123"/>
      <c r="K148" s="123"/>
      <c r="L148" s="123"/>
      <c r="M148" s="123"/>
      <c r="N148" s="123"/>
      <c r="O148" s="123">
        <f t="shared" si="37"/>
        <v>0</v>
      </c>
      <c r="P148" s="123">
        <f t="shared" si="38"/>
        <v>0</v>
      </c>
      <c r="Q148" s="123">
        <f t="shared" si="39"/>
        <v>0</v>
      </c>
      <c r="R148" s="123"/>
      <c r="S148" s="123"/>
      <c r="T148" s="123"/>
      <c r="U148" s="123">
        <f t="shared" si="40"/>
        <v>0</v>
      </c>
      <c r="V148" s="123">
        <f>SUM(W148:AE148)</f>
        <v>0</v>
      </c>
      <c r="W148" s="124"/>
      <c r="X148" s="123"/>
      <c r="Y148" s="123"/>
      <c r="Z148" s="123"/>
      <c r="AA148" s="123"/>
      <c r="AB148" s="123"/>
      <c r="AC148" s="123"/>
      <c r="AD148" s="123"/>
      <c r="AE148" s="123"/>
      <c r="AF148" s="123"/>
      <c r="AG148" s="123"/>
      <c r="AH148" s="123"/>
      <c r="AI148" s="123"/>
    </row>
    <row r="149" spans="1:35" s="115" customFormat="1" ht="15" x14ac:dyDescent="0.25">
      <c r="A149" s="117">
        <v>8</v>
      </c>
      <c r="B149" s="123" t="s">
        <v>251</v>
      </c>
      <c r="C149" s="123">
        <f t="shared" si="36"/>
        <v>400</v>
      </c>
      <c r="D149" s="123"/>
      <c r="E149" s="123">
        <v>400</v>
      </c>
      <c r="F149" s="124"/>
      <c r="G149" s="123"/>
      <c r="H149" s="123"/>
      <c r="I149" s="123"/>
      <c r="J149" s="123"/>
      <c r="K149" s="123"/>
      <c r="L149" s="123">
        <v>300</v>
      </c>
      <c r="M149" s="123"/>
      <c r="N149" s="123"/>
      <c r="O149" s="123">
        <f t="shared" si="37"/>
        <v>0</v>
      </c>
      <c r="P149" s="123">
        <f t="shared" si="38"/>
        <v>0</v>
      </c>
      <c r="Q149" s="123">
        <f t="shared" si="39"/>
        <v>0</v>
      </c>
      <c r="R149" s="123"/>
      <c r="S149" s="123"/>
      <c r="T149" s="123"/>
      <c r="U149" s="123">
        <f t="shared" si="40"/>
        <v>0</v>
      </c>
      <c r="V149" s="123"/>
      <c r="W149" s="124"/>
      <c r="X149" s="123"/>
      <c r="Y149" s="123"/>
      <c r="Z149" s="123"/>
      <c r="AA149" s="123"/>
      <c r="AB149" s="123"/>
      <c r="AC149" s="123">
        <v>210</v>
      </c>
      <c r="AD149" s="123"/>
      <c r="AE149" s="123"/>
      <c r="AF149" s="123"/>
      <c r="AG149" s="123"/>
      <c r="AH149" s="123"/>
      <c r="AI149" s="123"/>
    </row>
    <row r="150" spans="1:35" s="115" customFormat="1" ht="12" x14ac:dyDescent="0.25">
      <c r="A150" s="117">
        <v>9</v>
      </c>
      <c r="B150" s="123" t="s">
        <v>216</v>
      </c>
      <c r="C150" s="123">
        <f t="shared" si="36"/>
        <v>1285</v>
      </c>
      <c r="D150" s="123"/>
      <c r="E150" s="123">
        <v>1285</v>
      </c>
      <c r="F150" s="123">
        <f t="shared" ref="F150:AE150" si="42">SUM(F151:F151)</f>
        <v>0</v>
      </c>
      <c r="G150" s="123">
        <f t="shared" si="42"/>
        <v>0</v>
      </c>
      <c r="H150" s="123">
        <f t="shared" si="42"/>
        <v>0</v>
      </c>
      <c r="I150" s="123">
        <f t="shared" si="42"/>
        <v>0</v>
      </c>
      <c r="J150" s="123">
        <f t="shared" si="42"/>
        <v>0</v>
      </c>
      <c r="K150" s="123">
        <f t="shared" si="42"/>
        <v>0</v>
      </c>
      <c r="L150" s="123">
        <f t="shared" si="42"/>
        <v>0</v>
      </c>
      <c r="M150" s="123">
        <f t="shared" si="42"/>
        <v>0</v>
      </c>
      <c r="N150" s="123">
        <f t="shared" si="42"/>
        <v>1407</v>
      </c>
      <c r="O150" s="123">
        <f t="shared" si="37"/>
        <v>1576</v>
      </c>
      <c r="P150" s="123">
        <f t="shared" si="38"/>
        <v>0</v>
      </c>
      <c r="Q150" s="123">
        <f t="shared" si="39"/>
        <v>1576</v>
      </c>
      <c r="R150" s="123"/>
      <c r="S150" s="123"/>
      <c r="T150" s="123"/>
      <c r="U150" s="123">
        <f t="shared" si="40"/>
        <v>1576</v>
      </c>
      <c r="V150" s="123">
        <v>1576</v>
      </c>
      <c r="W150" s="123">
        <f t="shared" si="42"/>
        <v>0</v>
      </c>
      <c r="X150" s="123">
        <f t="shared" si="42"/>
        <v>0</v>
      </c>
      <c r="Y150" s="123">
        <f t="shared" si="42"/>
        <v>0</v>
      </c>
      <c r="Z150" s="123">
        <f t="shared" si="42"/>
        <v>0</v>
      </c>
      <c r="AA150" s="123">
        <f t="shared" si="42"/>
        <v>0</v>
      </c>
      <c r="AB150" s="123">
        <f t="shared" si="42"/>
        <v>0</v>
      </c>
      <c r="AC150" s="123">
        <f t="shared" si="42"/>
        <v>0</v>
      </c>
      <c r="AD150" s="123">
        <f t="shared" si="42"/>
        <v>0</v>
      </c>
      <c r="AE150" s="123">
        <f t="shared" si="42"/>
        <v>901</v>
      </c>
      <c r="AF150" s="123"/>
      <c r="AG150" s="123"/>
      <c r="AH150" s="123"/>
      <c r="AI150" s="123"/>
    </row>
    <row r="151" spans="1:35" s="115" customFormat="1" ht="15" hidden="1" x14ac:dyDescent="0.25">
      <c r="A151" s="125" t="s">
        <v>439</v>
      </c>
      <c r="B151" s="126" t="s">
        <v>540</v>
      </c>
      <c r="C151" s="123">
        <f t="shared" si="36"/>
        <v>1407</v>
      </c>
      <c r="D151" s="126"/>
      <c r="E151" s="126">
        <f>SUM(F151:N151)</f>
        <v>1407</v>
      </c>
      <c r="F151" s="127"/>
      <c r="G151" s="126"/>
      <c r="H151" s="126"/>
      <c r="I151" s="126"/>
      <c r="J151" s="126"/>
      <c r="K151" s="126"/>
      <c r="L151" s="126"/>
      <c r="M151" s="126"/>
      <c r="N151" s="126">
        <v>1407</v>
      </c>
      <c r="O151" s="123">
        <f t="shared" si="37"/>
        <v>901</v>
      </c>
      <c r="P151" s="123">
        <f t="shared" si="38"/>
        <v>0</v>
      </c>
      <c r="Q151" s="123">
        <f t="shared" si="39"/>
        <v>901</v>
      </c>
      <c r="R151" s="126"/>
      <c r="S151" s="126"/>
      <c r="T151" s="126"/>
      <c r="U151" s="123">
        <f t="shared" si="40"/>
        <v>901</v>
      </c>
      <c r="V151" s="126">
        <f>SUM(W151:AE151)</f>
        <v>901</v>
      </c>
      <c r="W151" s="127"/>
      <c r="X151" s="126"/>
      <c r="Y151" s="126"/>
      <c r="Z151" s="126"/>
      <c r="AA151" s="126"/>
      <c r="AB151" s="126"/>
      <c r="AC151" s="126"/>
      <c r="AD151" s="126"/>
      <c r="AE151" s="126">
        <v>901</v>
      </c>
      <c r="AF151" s="126"/>
      <c r="AG151" s="123"/>
      <c r="AH151" s="123"/>
      <c r="AI151" s="123"/>
    </row>
    <row r="152" spans="1:35" s="115" customFormat="1" ht="15" hidden="1" x14ac:dyDescent="0.25">
      <c r="A152" s="117">
        <v>22</v>
      </c>
      <c r="B152" s="123" t="s">
        <v>217</v>
      </c>
      <c r="C152" s="123">
        <f t="shared" si="36"/>
        <v>0</v>
      </c>
      <c r="D152" s="123"/>
      <c r="E152" s="123">
        <f>SUM(F152:N152)</f>
        <v>0</v>
      </c>
      <c r="F152" s="124"/>
      <c r="G152" s="123"/>
      <c r="H152" s="123"/>
      <c r="I152" s="123"/>
      <c r="J152" s="123"/>
      <c r="K152" s="123"/>
      <c r="L152" s="123"/>
      <c r="M152" s="123"/>
      <c r="N152" s="123"/>
      <c r="O152" s="123">
        <f t="shared" si="37"/>
        <v>0</v>
      </c>
      <c r="P152" s="123">
        <f t="shared" si="38"/>
        <v>0</v>
      </c>
      <c r="Q152" s="123">
        <f t="shared" si="39"/>
        <v>0</v>
      </c>
      <c r="R152" s="123"/>
      <c r="S152" s="123"/>
      <c r="T152" s="123"/>
      <c r="U152" s="123">
        <f t="shared" si="40"/>
        <v>0</v>
      </c>
      <c r="V152" s="123">
        <f>SUM(W152:AE152)</f>
        <v>0</v>
      </c>
      <c r="W152" s="124"/>
      <c r="X152" s="123"/>
      <c r="Y152" s="123"/>
      <c r="Z152" s="123"/>
      <c r="AA152" s="123"/>
      <c r="AB152" s="123"/>
      <c r="AC152" s="123"/>
      <c r="AD152" s="123"/>
      <c r="AE152" s="123"/>
      <c r="AF152" s="123"/>
      <c r="AG152" s="123"/>
      <c r="AH152" s="123"/>
      <c r="AI152" s="123"/>
    </row>
    <row r="153" spans="1:35" s="115" customFormat="1" ht="28.5" customHeight="1" x14ac:dyDescent="0.25">
      <c r="A153" s="117">
        <v>10</v>
      </c>
      <c r="B153" s="123" t="s">
        <v>541</v>
      </c>
      <c r="C153" s="123">
        <f t="shared" si="36"/>
        <v>41</v>
      </c>
      <c r="D153" s="123"/>
      <c r="E153" s="123">
        <v>41</v>
      </c>
      <c r="F153" s="123">
        <f t="shared" ref="F153:AE153" si="43">SUM(F154:F154)</f>
        <v>0</v>
      </c>
      <c r="G153" s="123">
        <f t="shared" si="43"/>
        <v>0</v>
      </c>
      <c r="H153" s="123">
        <f t="shared" si="43"/>
        <v>0</v>
      </c>
      <c r="I153" s="123">
        <f t="shared" si="43"/>
        <v>0</v>
      </c>
      <c r="J153" s="123">
        <f t="shared" si="43"/>
        <v>0</v>
      </c>
      <c r="K153" s="123">
        <f t="shared" si="43"/>
        <v>0</v>
      </c>
      <c r="L153" s="123">
        <f t="shared" si="43"/>
        <v>15</v>
      </c>
      <c r="M153" s="123">
        <f t="shared" si="43"/>
        <v>0</v>
      </c>
      <c r="N153" s="123">
        <f t="shared" si="43"/>
        <v>0</v>
      </c>
      <c r="O153" s="123">
        <f t="shared" si="37"/>
        <v>26</v>
      </c>
      <c r="P153" s="123">
        <f t="shared" si="38"/>
        <v>0</v>
      </c>
      <c r="Q153" s="123">
        <f t="shared" si="39"/>
        <v>26</v>
      </c>
      <c r="R153" s="123"/>
      <c r="S153" s="123"/>
      <c r="T153" s="123"/>
      <c r="U153" s="123">
        <f t="shared" si="40"/>
        <v>26</v>
      </c>
      <c r="V153" s="123">
        <v>26</v>
      </c>
      <c r="W153" s="123">
        <f t="shared" si="43"/>
        <v>0</v>
      </c>
      <c r="X153" s="123">
        <f t="shared" si="43"/>
        <v>0</v>
      </c>
      <c r="Y153" s="123">
        <f t="shared" si="43"/>
        <v>0</v>
      </c>
      <c r="Z153" s="123">
        <f t="shared" si="43"/>
        <v>0</v>
      </c>
      <c r="AA153" s="123">
        <f t="shared" si="43"/>
        <v>0</v>
      </c>
      <c r="AB153" s="123">
        <f t="shared" si="43"/>
        <v>0</v>
      </c>
      <c r="AC153" s="123">
        <f t="shared" si="43"/>
        <v>15</v>
      </c>
      <c r="AD153" s="123">
        <f t="shared" si="43"/>
        <v>0</v>
      </c>
      <c r="AE153" s="123">
        <f t="shared" si="43"/>
        <v>0</v>
      </c>
      <c r="AF153" s="123"/>
      <c r="AG153" s="123"/>
      <c r="AH153" s="123"/>
      <c r="AI153" s="123"/>
    </row>
    <row r="154" spans="1:35" s="115" customFormat="1" ht="24" hidden="1" x14ac:dyDescent="0.25">
      <c r="A154" s="125" t="s">
        <v>445</v>
      </c>
      <c r="B154" s="126" t="s">
        <v>542</v>
      </c>
      <c r="C154" s="123">
        <f t="shared" si="36"/>
        <v>15</v>
      </c>
      <c r="D154" s="126"/>
      <c r="E154" s="126">
        <f t="shared" ref="E154:E159" si="44">SUM(F154:N154)</f>
        <v>15</v>
      </c>
      <c r="F154" s="127"/>
      <c r="G154" s="126"/>
      <c r="H154" s="126"/>
      <c r="I154" s="126"/>
      <c r="J154" s="126"/>
      <c r="K154" s="126"/>
      <c r="L154" s="126">
        <v>15</v>
      </c>
      <c r="M154" s="126"/>
      <c r="N154" s="126"/>
      <c r="O154" s="123">
        <f t="shared" si="37"/>
        <v>15</v>
      </c>
      <c r="P154" s="123">
        <f t="shared" si="38"/>
        <v>0</v>
      </c>
      <c r="Q154" s="123">
        <f t="shared" si="39"/>
        <v>15</v>
      </c>
      <c r="R154" s="126"/>
      <c r="S154" s="126"/>
      <c r="T154" s="126"/>
      <c r="U154" s="123">
        <f t="shared" si="40"/>
        <v>15</v>
      </c>
      <c r="V154" s="126">
        <f t="shared" ref="V154:V159" si="45">SUM(W154:AE154)</f>
        <v>15</v>
      </c>
      <c r="W154" s="127"/>
      <c r="X154" s="126"/>
      <c r="Y154" s="126"/>
      <c r="Z154" s="126"/>
      <c r="AA154" s="126"/>
      <c r="AB154" s="126"/>
      <c r="AC154" s="126">
        <v>15</v>
      </c>
      <c r="AD154" s="126"/>
      <c r="AE154" s="126"/>
      <c r="AF154" s="126"/>
      <c r="AG154" s="123"/>
      <c r="AH154" s="123"/>
      <c r="AI154" s="123"/>
    </row>
    <row r="155" spans="1:35" s="115" customFormat="1" ht="15" x14ac:dyDescent="0.25">
      <c r="A155" s="117">
        <v>11</v>
      </c>
      <c r="B155" s="123" t="s">
        <v>561</v>
      </c>
      <c r="C155" s="123">
        <f>D155+E155</f>
        <v>100</v>
      </c>
      <c r="D155" s="123"/>
      <c r="E155" s="123">
        <v>100</v>
      </c>
      <c r="F155" s="124"/>
      <c r="G155" s="123"/>
      <c r="H155" s="123"/>
      <c r="I155" s="123"/>
      <c r="J155" s="123"/>
      <c r="K155" s="123"/>
      <c r="L155" s="123"/>
      <c r="M155" s="123"/>
      <c r="N155" s="123"/>
      <c r="O155" s="123">
        <f t="shared" si="37"/>
        <v>100</v>
      </c>
      <c r="P155" s="123"/>
      <c r="Q155" s="123">
        <f>U155</f>
        <v>100</v>
      </c>
      <c r="R155" s="123"/>
      <c r="S155" s="123"/>
      <c r="T155" s="123"/>
      <c r="U155" s="123">
        <f t="shared" si="40"/>
        <v>100</v>
      </c>
      <c r="V155" s="123">
        <v>100</v>
      </c>
      <c r="W155" s="124"/>
      <c r="X155" s="123"/>
      <c r="Y155" s="123"/>
      <c r="Z155" s="123"/>
      <c r="AA155" s="123"/>
      <c r="AB155" s="123"/>
      <c r="AC155" s="123"/>
      <c r="AD155" s="123"/>
      <c r="AE155" s="123"/>
      <c r="AF155" s="123"/>
      <c r="AG155" s="123"/>
      <c r="AH155" s="123"/>
      <c r="AI155" s="123"/>
    </row>
    <row r="156" spans="1:35" s="115" customFormat="1" ht="15" hidden="1" x14ac:dyDescent="0.25">
      <c r="A156" s="117">
        <v>25</v>
      </c>
      <c r="B156" s="123"/>
      <c r="C156" s="123">
        <f t="shared" si="36"/>
        <v>0</v>
      </c>
      <c r="D156" s="123"/>
      <c r="E156" s="123">
        <f t="shared" si="44"/>
        <v>0</v>
      </c>
      <c r="F156" s="124"/>
      <c r="G156" s="123"/>
      <c r="H156" s="123"/>
      <c r="I156" s="123"/>
      <c r="J156" s="123"/>
      <c r="K156" s="123"/>
      <c r="L156" s="123"/>
      <c r="M156" s="123"/>
      <c r="N156" s="123"/>
      <c r="O156" s="123">
        <f t="shared" si="37"/>
        <v>0</v>
      </c>
      <c r="P156" s="123">
        <f t="shared" si="38"/>
        <v>0</v>
      </c>
      <c r="Q156" s="123">
        <f t="shared" si="39"/>
        <v>0</v>
      </c>
      <c r="R156" s="123"/>
      <c r="S156" s="123"/>
      <c r="T156" s="123"/>
      <c r="U156" s="123">
        <f t="shared" si="40"/>
        <v>0</v>
      </c>
      <c r="V156" s="123">
        <f t="shared" si="45"/>
        <v>0</v>
      </c>
      <c r="W156" s="124"/>
      <c r="X156" s="123"/>
      <c r="Y156" s="123"/>
      <c r="Z156" s="123"/>
      <c r="AA156" s="123"/>
      <c r="AB156" s="123"/>
      <c r="AC156" s="123"/>
      <c r="AD156" s="123"/>
      <c r="AE156" s="123"/>
      <c r="AF156" s="123"/>
      <c r="AG156" s="123" t="e">
        <f t="shared" ref="AG156:AI160" si="46">O156/C156*100</f>
        <v>#DIV/0!</v>
      </c>
      <c r="AH156" s="123" t="e">
        <f t="shared" si="46"/>
        <v>#DIV/0!</v>
      </c>
      <c r="AI156" s="123" t="e">
        <f t="shared" si="46"/>
        <v>#DIV/0!</v>
      </c>
    </row>
    <row r="157" spans="1:35" s="115" customFormat="1" ht="15" hidden="1" x14ac:dyDescent="0.25">
      <c r="A157" s="117">
        <v>26</v>
      </c>
      <c r="B157" s="123" t="s">
        <v>543</v>
      </c>
      <c r="C157" s="123">
        <f t="shared" si="36"/>
        <v>0</v>
      </c>
      <c r="D157" s="123"/>
      <c r="E157" s="123">
        <f t="shared" si="44"/>
        <v>0</v>
      </c>
      <c r="F157" s="124"/>
      <c r="G157" s="123"/>
      <c r="H157" s="123"/>
      <c r="I157" s="123"/>
      <c r="J157" s="123"/>
      <c r="K157" s="123"/>
      <c r="L157" s="123"/>
      <c r="M157" s="123"/>
      <c r="N157" s="123"/>
      <c r="O157" s="123">
        <f t="shared" si="37"/>
        <v>0</v>
      </c>
      <c r="P157" s="123">
        <f t="shared" si="38"/>
        <v>0</v>
      </c>
      <c r="Q157" s="123">
        <f t="shared" si="39"/>
        <v>0</v>
      </c>
      <c r="R157" s="123"/>
      <c r="S157" s="123"/>
      <c r="T157" s="123"/>
      <c r="U157" s="123">
        <f t="shared" si="40"/>
        <v>0</v>
      </c>
      <c r="V157" s="123">
        <f t="shared" si="45"/>
        <v>0</v>
      </c>
      <c r="W157" s="124"/>
      <c r="X157" s="123"/>
      <c r="Y157" s="123"/>
      <c r="Z157" s="123"/>
      <c r="AA157" s="123"/>
      <c r="AB157" s="123"/>
      <c r="AC157" s="123"/>
      <c r="AD157" s="123"/>
      <c r="AE157" s="123"/>
      <c r="AF157" s="123"/>
      <c r="AG157" s="123" t="e">
        <f t="shared" si="46"/>
        <v>#DIV/0!</v>
      </c>
      <c r="AH157" s="123" t="e">
        <f t="shared" si="46"/>
        <v>#DIV/0!</v>
      </c>
      <c r="AI157" s="123" t="e">
        <f t="shared" si="46"/>
        <v>#DIV/0!</v>
      </c>
    </row>
    <row r="158" spans="1:35" s="115" customFormat="1" ht="15" hidden="1" x14ac:dyDescent="0.25">
      <c r="A158" s="117">
        <v>27</v>
      </c>
      <c r="B158" s="123" t="s">
        <v>223</v>
      </c>
      <c r="C158" s="123">
        <f t="shared" si="36"/>
        <v>0</v>
      </c>
      <c r="D158" s="123"/>
      <c r="E158" s="123">
        <f t="shared" si="44"/>
        <v>0</v>
      </c>
      <c r="F158" s="124"/>
      <c r="G158" s="123"/>
      <c r="H158" s="123"/>
      <c r="I158" s="123"/>
      <c r="J158" s="123"/>
      <c r="K158" s="123"/>
      <c r="L158" s="123"/>
      <c r="M158" s="123"/>
      <c r="N158" s="123"/>
      <c r="O158" s="123">
        <f t="shared" si="37"/>
        <v>0</v>
      </c>
      <c r="P158" s="123">
        <f t="shared" si="38"/>
        <v>0</v>
      </c>
      <c r="Q158" s="123">
        <f t="shared" si="39"/>
        <v>0</v>
      </c>
      <c r="R158" s="123"/>
      <c r="S158" s="123"/>
      <c r="T158" s="123"/>
      <c r="U158" s="123">
        <f t="shared" si="40"/>
        <v>0</v>
      </c>
      <c r="V158" s="123">
        <f t="shared" si="45"/>
        <v>0</v>
      </c>
      <c r="W158" s="124"/>
      <c r="X158" s="123"/>
      <c r="Y158" s="123"/>
      <c r="Z158" s="123"/>
      <c r="AA158" s="123"/>
      <c r="AB158" s="123"/>
      <c r="AC158" s="123"/>
      <c r="AD158" s="123"/>
      <c r="AE158" s="123"/>
      <c r="AF158" s="123"/>
      <c r="AG158" s="123" t="e">
        <f t="shared" si="46"/>
        <v>#DIV/0!</v>
      </c>
      <c r="AH158" s="123" t="e">
        <f t="shared" si="46"/>
        <v>#DIV/0!</v>
      </c>
      <c r="AI158" s="123" t="e">
        <f t="shared" si="46"/>
        <v>#DIV/0!</v>
      </c>
    </row>
    <row r="159" spans="1:35" s="115" customFormat="1" ht="15" hidden="1" x14ac:dyDescent="0.25">
      <c r="A159" s="117">
        <v>28</v>
      </c>
      <c r="B159" s="123" t="s">
        <v>544</v>
      </c>
      <c r="C159" s="123">
        <f t="shared" si="36"/>
        <v>0</v>
      </c>
      <c r="D159" s="123"/>
      <c r="E159" s="123">
        <f t="shared" si="44"/>
        <v>0</v>
      </c>
      <c r="F159" s="124"/>
      <c r="G159" s="123"/>
      <c r="H159" s="123"/>
      <c r="I159" s="123"/>
      <c r="J159" s="123"/>
      <c r="K159" s="123"/>
      <c r="L159" s="123"/>
      <c r="M159" s="123"/>
      <c r="N159" s="123"/>
      <c r="O159" s="123">
        <f t="shared" si="37"/>
        <v>0</v>
      </c>
      <c r="P159" s="123">
        <f t="shared" si="38"/>
        <v>0</v>
      </c>
      <c r="Q159" s="123">
        <f t="shared" si="39"/>
        <v>0</v>
      </c>
      <c r="R159" s="123"/>
      <c r="S159" s="123"/>
      <c r="T159" s="123"/>
      <c r="U159" s="123">
        <f t="shared" si="40"/>
        <v>0</v>
      </c>
      <c r="V159" s="123">
        <f t="shared" si="45"/>
        <v>0</v>
      </c>
      <c r="W159" s="124"/>
      <c r="X159" s="123"/>
      <c r="Y159" s="123"/>
      <c r="Z159" s="123"/>
      <c r="AA159" s="123"/>
      <c r="AB159" s="123"/>
      <c r="AC159" s="123"/>
      <c r="AD159" s="123"/>
      <c r="AE159" s="123"/>
      <c r="AF159" s="123"/>
      <c r="AG159" s="123" t="e">
        <f t="shared" si="46"/>
        <v>#DIV/0!</v>
      </c>
      <c r="AH159" s="123" t="e">
        <f t="shared" si="46"/>
        <v>#DIV/0!</v>
      </c>
      <c r="AI159" s="123" t="e">
        <f t="shared" si="46"/>
        <v>#DIV/0!</v>
      </c>
    </row>
    <row r="160" spans="1:35" s="122" customFormat="1" ht="16.899999999999999" customHeight="1" x14ac:dyDescent="0.25">
      <c r="A160" s="116" t="s">
        <v>7</v>
      </c>
      <c r="B160" s="120" t="s">
        <v>60</v>
      </c>
      <c r="C160" s="120">
        <f>SUM(C161:C170)</f>
        <v>91026</v>
      </c>
      <c r="D160" s="120">
        <f t="shared" ref="D160:S160" si="47">SUM(D161:D170)</f>
        <v>69364</v>
      </c>
      <c r="E160" s="120">
        <f t="shared" si="47"/>
        <v>21662</v>
      </c>
      <c r="F160" s="120">
        <f t="shared" si="47"/>
        <v>0</v>
      </c>
      <c r="G160" s="120">
        <f t="shared" si="47"/>
        <v>0</v>
      </c>
      <c r="H160" s="120">
        <f t="shared" si="47"/>
        <v>0</v>
      </c>
      <c r="I160" s="120">
        <f t="shared" si="47"/>
        <v>0</v>
      </c>
      <c r="J160" s="120">
        <f t="shared" si="47"/>
        <v>0</v>
      </c>
      <c r="K160" s="120">
        <f t="shared" si="47"/>
        <v>0</v>
      </c>
      <c r="L160" s="120">
        <f t="shared" si="47"/>
        <v>15375</v>
      </c>
      <c r="M160" s="120">
        <f t="shared" si="47"/>
        <v>0</v>
      </c>
      <c r="N160" s="120">
        <f t="shared" si="47"/>
        <v>4384</v>
      </c>
      <c r="O160" s="120">
        <f t="shared" si="47"/>
        <v>78762</v>
      </c>
      <c r="P160" s="120">
        <f t="shared" si="47"/>
        <v>63860</v>
      </c>
      <c r="Q160" s="120">
        <f t="shared" si="47"/>
        <v>14902</v>
      </c>
      <c r="R160" s="120">
        <f t="shared" si="47"/>
        <v>63860</v>
      </c>
      <c r="S160" s="120">
        <f t="shared" si="47"/>
        <v>63860</v>
      </c>
      <c r="T160" s="120">
        <f>SUM(T161:T170)</f>
        <v>0</v>
      </c>
      <c r="U160" s="120">
        <f>V160+AF160</f>
        <v>14902</v>
      </c>
      <c r="V160" s="120">
        <f>SUM(V161:V170)</f>
        <v>14902</v>
      </c>
      <c r="W160" s="120">
        <f t="shared" ref="W160:AF160" si="48">SUM(W161:W170)</f>
        <v>194</v>
      </c>
      <c r="X160" s="120">
        <f t="shared" si="48"/>
        <v>0</v>
      </c>
      <c r="Y160" s="120">
        <f t="shared" si="48"/>
        <v>0</v>
      </c>
      <c r="Z160" s="120">
        <f t="shared" si="48"/>
        <v>0</v>
      </c>
      <c r="AA160" s="120">
        <f t="shared" si="48"/>
        <v>0</v>
      </c>
      <c r="AB160" s="120">
        <f t="shared" si="48"/>
        <v>0</v>
      </c>
      <c r="AC160" s="120">
        <f t="shared" si="48"/>
        <v>10420</v>
      </c>
      <c r="AD160" s="120">
        <f t="shared" si="48"/>
        <v>0</v>
      </c>
      <c r="AE160" s="120">
        <f t="shared" si="48"/>
        <v>2684</v>
      </c>
      <c r="AF160" s="120">
        <f t="shared" si="48"/>
        <v>0</v>
      </c>
      <c r="AG160" s="121">
        <f t="shared" si="46"/>
        <v>86.526926372684727</v>
      </c>
      <c r="AH160" s="121">
        <f t="shared" si="46"/>
        <v>92.06504815177901</v>
      </c>
      <c r="AI160" s="121">
        <f t="shared" si="46"/>
        <v>68.793278552303576</v>
      </c>
    </row>
    <row r="161" spans="1:35" s="115" customFormat="1" ht="15" customHeight="1" x14ac:dyDescent="0.25">
      <c r="A161" s="117">
        <v>1</v>
      </c>
      <c r="B161" s="123" t="s">
        <v>265</v>
      </c>
      <c r="C161" s="123">
        <f>D161+E161</f>
        <v>2473</v>
      </c>
      <c r="D161" s="123">
        <v>1793</v>
      </c>
      <c r="E161" s="123">
        <v>680</v>
      </c>
      <c r="F161" s="124"/>
      <c r="G161" s="123"/>
      <c r="H161" s="123"/>
      <c r="I161" s="123"/>
      <c r="J161" s="123"/>
      <c r="K161" s="123"/>
      <c r="L161" s="123">
        <v>537</v>
      </c>
      <c r="M161" s="123"/>
      <c r="N161" s="123"/>
      <c r="O161" s="123">
        <f>SUM(P161:Q161)</f>
        <v>3304</v>
      </c>
      <c r="P161" s="123">
        <f>R161</f>
        <v>2714</v>
      </c>
      <c r="Q161" s="123">
        <v>590</v>
      </c>
      <c r="R161" s="123">
        <f>SUM(S161:T161)</f>
        <v>2714</v>
      </c>
      <c r="S161" s="123">
        <v>2714</v>
      </c>
      <c r="T161" s="123"/>
      <c r="U161" s="123">
        <f>V161+AF161</f>
        <v>590</v>
      </c>
      <c r="V161" s="123">
        <v>590</v>
      </c>
      <c r="W161" s="124"/>
      <c r="X161" s="123"/>
      <c r="Y161" s="123"/>
      <c r="Z161" s="123"/>
      <c r="AA161" s="123"/>
      <c r="AB161" s="123"/>
      <c r="AC161" s="123">
        <v>438</v>
      </c>
      <c r="AD161" s="123"/>
      <c r="AE161" s="123">
        <v>0</v>
      </c>
      <c r="AF161" s="123"/>
      <c r="AG161" s="128"/>
      <c r="AH161" s="128"/>
      <c r="AI161" s="128"/>
    </row>
    <row r="162" spans="1:35" s="115" customFormat="1" ht="15" customHeight="1" x14ac:dyDescent="0.25">
      <c r="A162" s="117">
        <v>2</v>
      </c>
      <c r="B162" s="129" t="s">
        <v>545</v>
      </c>
      <c r="C162" s="123">
        <f>D162+E162</f>
        <v>9651</v>
      </c>
      <c r="D162" s="123">
        <v>6980</v>
      </c>
      <c r="E162" s="123">
        <v>2671</v>
      </c>
      <c r="F162" s="124"/>
      <c r="G162" s="123"/>
      <c r="H162" s="123"/>
      <c r="I162" s="123"/>
      <c r="J162" s="123"/>
      <c r="K162" s="123"/>
      <c r="L162" s="123">
        <v>1540</v>
      </c>
      <c r="M162" s="123"/>
      <c r="N162" s="123">
        <v>368</v>
      </c>
      <c r="O162" s="123">
        <f t="shared" ref="O162:O170" si="49">SUM(P162:Q162)</f>
        <v>6177</v>
      </c>
      <c r="P162" s="123">
        <f t="shared" ref="P162:P170" si="50">R162</f>
        <v>4162</v>
      </c>
      <c r="Q162" s="123">
        <v>2015</v>
      </c>
      <c r="R162" s="123">
        <f t="shared" ref="R162:R166" si="51">SUM(S162:T162)</f>
        <v>4162</v>
      </c>
      <c r="S162" s="123">
        <v>4162</v>
      </c>
      <c r="T162" s="123"/>
      <c r="U162" s="123">
        <f>V162+AF162</f>
        <v>2015</v>
      </c>
      <c r="V162" s="123">
        <v>2015</v>
      </c>
      <c r="W162" s="124"/>
      <c r="X162" s="123"/>
      <c r="Y162" s="123"/>
      <c r="Z162" s="123"/>
      <c r="AA162" s="123"/>
      <c r="AB162" s="123"/>
      <c r="AC162" s="123">
        <v>1459</v>
      </c>
      <c r="AD162" s="123"/>
      <c r="AE162" s="123">
        <v>288</v>
      </c>
      <c r="AF162" s="123"/>
      <c r="AG162" s="128"/>
      <c r="AH162" s="128"/>
      <c r="AI162" s="128"/>
    </row>
    <row r="163" spans="1:35" s="115" customFormat="1" ht="15" customHeight="1" x14ac:dyDescent="0.25">
      <c r="A163" s="117">
        <v>3</v>
      </c>
      <c r="B163" s="129" t="s">
        <v>546</v>
      </c>
      <c r="C163" s="123">
        <f t="shared" ref="C163:C170" si="52">D163+E163</f>
        <v>18219</v>
      </c>
      <c r="D163" s="123">
        <v>14353</v>
      </c>
      <c r="E163" s="123">
        <v>3866</v>
      </c>
      <c r="F163" s="124"/>
      <c r="G163" s="123"/>
      <c r="H163" s="123"/>
      <c r="I163" s="123"/>
      <c r="J163" s="123"/>
      <c r="K163" s="123"/>
      <c r="L163" s="123">
        <v>2695</v>
      </c>
      <c r="M163" s="123"/>
      <c r="N163" s="123">
        <v>1049</v>
      </c>
      <c r="O163" s="123">
        <f t="shared" si="49"/>
        <v>15902</v>
      </c>
      <c r="P163" s="123">
        <f t="shared" si="50"/>
        <v>13369</v>
      </c>
      <c r="Q163" s="123">
        <v>2533</v>
      </c>
      <c r="R163" s="123">
        <f t="shared" si="51"/>
        <v>13369</v>
      </c>
      <c r="S163" s="123">
        <v>13369</v>
      </c>
      <c r="T163" s="123"/>
      <c r="U163" s="123">
        <f t="shared" ref="U163:U170" si="53">V163+AF163</f>
        <v>2533</v>
      </c>
      <c r="V163" s="123">
        <v>2533</v>
      </c>
      <c r="W163" s="124">
        <v>18</v>
      </c>
      <c r="X163" s="123"/>
      <c r="Y163" s="123"/>
      <c r="Z163" s="123"/>
      <c r="AA163" s="123"/>
      <c r="AB163" s="123"/>
      <c r="AC163" s="123">
        <v>2648</v>
      </c>
      <c r="AD163" s="123"/>
      <c r="AE163" s="123">
        <v>1125</v>
      </c>
      <c r="AF163" s="123"/>
      <c r="AG163" s="128"/>
      <c r="AH163" s="128"/>
      <c r="AI163" s="128"/>
    </row>
    <row r="164" spans="1:35" s="115" customFormat="1" ht="15" customHeight="1" x14ac:dyDescent="0.25">
      <c r="A164" s="117">
        <v>4</v>
      </c>
      <c r="B164" s="129" t="s">
        <v>547</v>
      </c>
      <c r="C164" s="123">
        <f t="shared" si="52"/>
        <v>16767</v>
      </c>
      <c r="D164" s="123">
        <v>13449</v>
      </c>
      <c r="E164" s="123">
        <v>3318</v>
      </c>
      <c r="F164" s="124"/>
      <c r="G164" s="123"/>
      <c r="H164" s="123"/>
      <c r="I164" s="123"/>
      <c r="J164" s="123"/>
      <c r="K164" s="123"/>
      <c r="L164" s="123">
        <v>2598</v>
      </c>
      <c r="M164" s="123"/>
      <c r="N164" s="123">
        <v>996</v>
      </c>
      <c r="O164" s="123">
        <f t="shared" si="49"/>
        <v>12466</v>
      </c>
      <c r="P164" s="123">
        <f t="shared" si="50"/>
        <v>10553</v>
      </c>
      <c r="Q164" s="123">
        <v>1913</v>
      </c>
      <c r="R164" s="123">
        <f t="shared" si="51"/>
        <v>10553</v>
      </c>
      <c r="S164" s="123">
        <v>10553</v>
      </c>
      <c r="T164" s="123"/>
      <c r="U164" s="123">
        <f t="shared" si="53"/>
        <v>1913</v>
      </c>
      <c r="V164" s="123">
        <v>1913</v>
      </c>
      <c r="W164" s="124">
        <v>176</v>
      </c>
      <c r="X164" s="123"/>
      <c r="Y164" s="123"/>
      <c r="Z164" s="123"/>
      <c r="AA164" s="123"/>
      <c r="AB164" s="123"/>
      <c r="AC164" s="123">
        <v>644</v>
      </c>
      <c r="AD164" s="123"/>
      <c r="AE164" s="123">
        <v>246</v>
      </c>
      <c r="AF164" s="123"/>
      <c r="AG164" s="128"/>
      <c r="AH164" s="128"/>
      <c r="AI164" s="128"/>
    </row>
    <row r="165" spans="1:35" s="115" customFormat="1" ht="15" customHeight="1" x14ac:dyDescent="0.25">
      <c r="A165" s="117">
        <v>5</v>
      </c>
      <c r="B165" s="129" t="s">
        <v>548</v>
      </c>
      <c r="C165" s="123">
        <f t="shared" si="52"/>
        <v>10062</v>
      </c>
      <c r="D165" s="123">
        <v>8032</v>
      </c>
      <c r="E165" s="123">
        <v>2030</v>
      </c>
      <c r="F165" s="124"/>
      <c r="G165" s="123"/>
      <c r="H165" s="123"/>
      <c r="I165" s="123"/>
      <c r="J165" s="123"/>
      <c r="K165" s="123"/>
      <c r="L165" s="123">
        <v>1792</v>
      </c>
      <c r="M165" s="123"/>
      <c r="N165" s="123">
        <v>314</v>
      </c>
      <c r="O165" s="123">
        <f t="shared" si="49"/>
        <v>8087</v>
      </c>
      <c r="P165" s="123">
        <f t="shared" si="50"/>
        <v>6381</v>
      </c>
      <c r="Q165" s="123">
        <v>1706</v>
      </c>
      <c r="R165" s="123">
        <f t="shared" si="51"/>
        <v>6381</v>
      </c>
      <c r="S165" s="123">
        <v>6381</v>
      </c>
      <c r="T165" s="123"/>
      <c r="U165" s="123">
        <f t="shared" si="53"/>
        <v>1706</v>
      </c>
      <c r="V165" s="123">
        <v>1706</v>
      </c>
      <c r="W165" s="124"/>
      <c r="X165" s="123"/>
      <c r="Y165" s="123"/>
      <c r="Z165" s="123"/>
      <c r="AA165" s="123"/>
      <c r="AB165" s="123"/>
      <c r="AC165" s="123">
        <v>1148</v>
      </c>
      <c r="AD165" s="123"/>
      <c r="AE165" s="123">
        <v>13</v>
      </c>
      <c r="AF165" s="123"/>
      <c r="AG165" s="128"/>
      <c r="AH165" s="128"/>
      <c r="AI165" s="128"/>
    </row>
    <row r="166" spans="1:35" s="115" customFormat="1" ht="15" customHeight="1" x14ac:dyDescent="0.25">
      <c r="A166" s="117">
        <v>6</v>
      </c>
      <c r="B166" s="129" t="s">
        <v>549</v>
      </c>
      <c r="C166" s="123">
        <f t="shared" si="52"/>
        <v>3420</v>
      </c>
      <c r="D166" s="123">
        <v>2043</v>
      </c>
      <c r="E166" s="123">
        <v>1377</v>
      </c>
      <c r="F166" s="124"/>
      <c r="G166" s="123"/>
      <c r="H166" s="123"/>
      <c r="I166" s="123"/>
      <c r="J166" s="123"/>
      <c r="K166" s="123"/>
      <c r="L166" s="123">
        <v>726</v>
      </c>
      <c r="M166" s="123"/>
      <c r="N166" s="123">
        <v>0</v>
      </c>
      <c r="O166" s="123">
        <f t="shared" si="49"/>
        <v>3117</v>
      </c>
      <c r="P166" s="123">
        <f t="shared" si="50"/>
        <v>2566</v>
      </c>
      <c r="Q166" s="123">
        <v>551</v>
      </c>
      <c r="R166" s="123">
        <f t="shared" si="51"/>
        <v>2566</v>
      </c>
      <c r="S166" s="123">
        <v>2566</v>
      </c>
      <c r="T166" s="123"/>
      <c r="U166" s="123">
        <f t="shared" si="53"/>
        <v>551</v>
      </c>
      <c r="V166" s="123">
        <v>551</v>
      </c>
      <c r="W166" s="124"/>
      <c r="X166" s="123"/>
      <c r="Y166" s="123"/>
      <c r="Z166" s="123"/>
      <c r="AA166" s="123"/>
      <c r="AB166" s="123"/>
      <c r="AC166" s="123">
        <v>912</v>
      </c>
      <c r="AD166" s="123"/>
      <c r="AE166" s="123">
        <v>0</v>
      </c>
      <c r="AF166" s="123"/>
      <c r="AG166" s="128"/>
      <c r="AH166" s="128"/>
      <c r="AI166" s="128"/>
    </row>
    <row r="167" spans="1:35" s="115" customFormat="1" ht="15" customHeight="1" x14ac:dyDescent="0.25">
      <c r="A167" s="117">
        <v>7</v>
      </c>
      <c r="B167" s="129" t="s">
        <v>550</v>
      </c>
      <c r="C167" s="123">
        <f t="shared" si="52"/>
        <v>7709</v>
      </c>
      <c r="D167" s="123">
        <v>6076</v>
      </c>
      <c r="E167" s="123">
        <v>1633</v>
      </c>
      <c r="F167" s="124"/>
      <c r="G167" s="123"/>
      <c r="H167" s="123"/>
      <c r="I167" s="123"/>
      <c r="J167" s="123"/>
      <c r="K167" s="123"/>
      <c r="L167" s="123">
        <v>1284</v>
      </c>
      <c r="M167" s="123"/>
      <c r="N167" s="123">
        <f>109+688</f>
        <v>797</v>
      </c>
      <c r="O167" s="123">
        <f t="shared" si="49"/>
        <v>7714</v>
      </c>
      <c r="P167" s="123">
        <f t="shared" si="50"/>
        <v>6282</v>
      </c>
      <c r="Q167" s="123">
        <v>1432</v>
      </c>
      <c r="R167" s="123">
        <v>6282</v>
      </c>
      <c r="S167" s="123">
        <v>6282</v>
      </c>
      <c r="T167" s="123"/>
      <c r="U167" s="123">
        <f t="shared" si="53"/>
        <v>1432</v>
      </c>
      <c r="V167" s="123">
        <v>1432</v>
      </c>
      <c r="W167" s="124"/>
      <c r="X167" s="123"/>
      <c r="Y167" s="123"/>
      <c r="Z167" s="123"/>
      <c r="AA167" s="123"/>
      <c r="AB167" s="123"/>
      <c r="AC167" s="123">
        <v>482</v>
      </c>
      <c r="AD167" s="123"/>
      <c r="AE167" s="123">
        <v>84</v>
      </c>
      <c r="AF167" s="123"/>
      <c r="AG167" s="128"/>
      <c r="AH167" s="128"/>
      <c r="AI167" s="128"/>
    </row>
    <row r="168" spans="1:35" s="115" customFormat="1" ht="15" customHeight="1" x14ac:dyDescent="0.25">
      <c r="A168" s="117">
        <v>8</v>
      </c>
      <c r="B168" s="129" t="s">
        <v>551</v>
      </c>
      <c r="C168" s="123">
        <f t="shared" si="52"/>
        <v>8387</v>
      </c>
      <c r="D168" s="123">
        <v>5866</v>
      </c>
      <c r="E168" s="123">
        <v>2521</v>
      </c>
      <c r="F168" s="124"/>
      <c r="G168" s="123"/>
      <c r="H168" s="123"/>
      <c r="I168" s="123"/>
      <c r="J168" s="123"/>
      <c r="K168" s="123"/>
      <c r="L168" s="123">
        <v>2150</v>
      </c>
      <c r="M168" s="123"/>
      <c r="N168" s="123">
        <v>218</v>
      </c>
      <c r="O168" s="123">
        <f t="shared" si="49"/>
        <v>7454</v>
      </c>
      <c r="P168" s="123">
        <f t="shared" si="50"/>
        <v>6063</v>
      </c>
      <c r="Q168" s="123">
        <v>1391</v>
      </c>
      <c r="R168" s="123">
        <v>6063</v>
      </c>
      <c r="S168" s="123">
        <v>6063</v>
      </c>
      <c r="T168" s="123"/>
      <c r="U168" s="123">
        <f t="shared" si="53"/>
        <v>1391</v>
      </c>
      <c r="V168" s="123">
        <v>1391</v>
      </c>
      <c r="W168" s="124"/>
      <c r="X168" s="123"/>
      <c r="Y168" s="123"/>
      <c r="Z168" s="123"/>
      <c r="AA168" s="123"/>
      <c r="AB168" s="123"/>
      <c r="AC168" s="123">
        <v>936</v>
      </c>
      <c r="AD168" s="123"/>
      <c r="AE168" s="123">
        <v>176</v>
      </c>
      <c r="AF168" s="123"/>
      <c r="AG168" s="128"/>
      <c r="AH168" s="128"/>
      <c r="AI168" s="128"/>
    </row>
    <row r="169" spans="1:35" s="115" customFormat="1" ht="15" customHeight="1" x14ac:dyDescent="0.25">
      <c r="A169" s="117">
        <v>9</v>
      </c>
      <c r="B169" s="129" t="s">
        <v>552</v>
      </c>
      <c r="C169" s="123">
        <f t="shared" si="52"/>
        <v>12588</v>
      </c>
      <c r="D169" s="123">
        <v>9521</v>
      </c>
      <c r="E169" s="123">
        <v>3067</v>
      </c>
      <c r="F169" s="124"/>
      <c r="G169" s="123"/>
      <c r="H169" s="123"/>
      <c r="I169" s="123"/>
      <c r="J169" s="123"/>
      <c r="K169" s="123"/>
      <c r="L169" s="123">
        <v>1442</v>
      </c>
      <c r="M169" s="123"/>
      <c r="N169" s="123">
        <v>642</v>
      </c>
      <c r="O169" s="123">
        <f t="shared" si="49"/>
        <v>11933</v>
      </c>
      <c r="P169" s="123">
        <f t="shared" si="50"/>
        <v>9567</v>
      </c>
      <c r="Q169" s="123">
        <v>2366</v>
      </c>
      <c r="R169" s="123">
        <v>9567</v>
      </c>
      <c r="S169" s="123">
        <v>9567</v>
      </c>
      <c r="T169" s="123"/>
      <c r="U169" s="123">
        <f t="shared" si="53"/>
        <v>2366</v>
      </c>
      <c r="V169" s="123">
        <v>2366</v>
      </c>
      <c r="W169" s="124"/>
      <c r="X169" s="123"/>
      <c r="Y169" s="123"/>
      <c r="Z169" s="123"/>
      <c r="AA169" s="123"/>
      <c r="AB169" s="123"/>
      <c r="AC169" s="123">
        <v>1168</v>
      </c>
      <c r="AD169" s="123"/>
      <c r="AE169" s="123">
        <v>642</v>
      </c>
      <c r="AF169" s="123"/>
      <c r="AG169" s="128"/>
      <c r="AH169" s="128"/>
      <c r="AI169" s="128"/>
    </row>
    <row r="170" spans="1:35" s="115" customFormat="1" ht="15" customHeight="1" x14ac:dyDescent="0.25">
      <c r="A170" s="117">
        <v>10</v>
      </c>
      <c r="B170" s="129" t="s">
        <v>553</v>
      </c>
      <c r="C170" s="123">
        <f t="shared" si="52"/>
        <v>1750</v>
      </c>
      <c r="D170" s="123">
        <v>1251</v>
      </c>
      <c r="E170" s="123">
        <v>499</v>
      </c>
      <c r="F170" s="124"/>
      <c r="G170" s="123"/>
      <c r="H170" s="123"/>
      <c r="I170" s="123"/>
      <c r="J170" s="123"/>
      <c r="K170" s="123"/>
      <c r="L170" s="123">
        <v>611</v>
      </c>
      <c r="M170" s="123"/>
      <c r="N170" s="123">
        <v>0</v>
      </c>
      <c r="O170" s="123">
        <f t="shared" si="49"/>
        <v>2608</v>
      </c>
      <c r="P170" s="123">
        <f t="shared" si="50"/>
        <v>2203</v>
      </c>
      <c r="Q170" s="123">
        <v>405</v>
      </c>
      <c r="R170" s="123">
        <v>2203</v>
      </c>
      <c r="S170" s="123">
        <v>2203</v>
      </c>
      <c r="T170" s="123"/>
      <c r="U170" s="123">
        <f t="shared" si="53"/>
        <v>405</v>
      </c>
      <c r="V170" s="123">
        <v>405</v>
      </c>
      <c r="W170" s="124"/>
      <c r="X170" s="123"/>
      <c r="Y170" s="123"/>
      <c r="Z170" s="123"/>
      <c r="AA170" s="123"/>
      <c r="AB170" s="123"/>
      <c r="AC170" s="123">
        <v>585</v>
      </c>
      <c r="AD170" s="123"/>
      <c r="AE170" s="123">
        <v>110</v>
      </c>
      <c r="AF170" s="123"/>
      <c r="AG170" s="128"/>
      <c r="AH170" s="128"/>
      <c r="AI170" s="128"/>
    </row>
    <row r="171" spans="1:35" s="115" customFormat="1" ht="14.25" x14ac:dyDescent="0.25">
      <c r="A171" s="130"/>
      <c r="B171" s="130"/>
      <c r="C171" s="130"/>
      <c r="D171" s="130"/>
      <c r="E171" s="131"/>
      <c r="F171" s="132"/>
      <c r="G171" s="131"/>
      <c r="H171" s="131"/>
      <c r="I171" s="131"/>
      <c r="J171" s="131"/>
      <c r="K171" s="131"/>
      <c r="L171" s="131"/>
      <c r="M171" s="131"/>
      <c r="N171" s="131"/>
      <c r="O171" s="131"/>
      <c r="P171" s="131"/>
      <c r="Q171" s="131"/>
      <c r="R171" s="131"/>
      <c r="S171" s="131"/>
      <c r="T171" s="131"/>
      <c r="U171" s="131"/>
      <c r="V171" s="131"/>
      <c r="W171" s="132"/>
      <c r="X171" s="131"/>
      <c r="Y171" s="131"/>
      <c r="Z171" s="131"/>
      <c r="AA171" s="131"/>
      <c r="AB171" s="131"/>
      <c r="AC171" s="131"/>
      <c r="AD171" s="131"/>
      <c r="AE171" s="131"/>
      <c r="AF171" s="131"/>
      <c r="AG171" s="131"/>
      <c r="AH171" s="131"/>
      <c r="AI171" s="133"/>
    </row>
    <row r="172" spans="1:35" ht="15.75" customHeight="1" x14ac:dyDescent="0.2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row>
    <row r="173" spans="1:35" x14ac:dyDescent="0.2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row>
    <row r="174" spans="1:35" x14ac:dyDescent="0.2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row>
    <row r="175" spans="1:35" x14ac:dyDescent="0.2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row>
    <row r="176" spans="1:35" x14ac:dyDescent="0.2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row>
  </sheetData>
  <mergeCells count="29">
    <mergeCell ref="U1:AI1"/>
    <mergeCell ref="A3:AI3"/>
    <mergeCell ref="A4:AI4"/>
    <mergeCell ref="A5:AI5"/>
    <mergeCell ref="C6:N6"/>
    <mergeCell ref="O6:AF6"/>
    <mergeCell ref="AG6:AI6"/>
    <mergeCell ref="A6:A10"/>
    <mergeCell ref="B6:B10"/>
    <mergeCell ref="C7:C10"/>
    <mergeCell ref="D7:E7"/>
    <mergeCell ref="D8:D10"/>
    <mergeCell ref="E8:E10"/>
    <mergeCell ref="O7:O10"/>
    <mergeCell ref="F8:N9"/>
    <mergeCell ref="P8:P10"/>
    <mergeCell ref="Q8:Q10"/>
    <mergeCell ref="AH8:AH10"/>
    <mergeCell ref="P7:Q7"/>
    <mergeCell ref="R7:AF7"/>
    <mergeCell ref="AG7:AG10"/>
    <mergeCell ref="AH7:AI7"/>
    <mergeCell ref="AI8:AI10"/>
    <mergeCell ref="R8:T8"/>
    <mergeCell ref="U8:AF8"/>
    <mergeCell ref="R9:R10"/>
    <mergeCell ref="S9:T9"/>
    <mergeCell ref="U9:U10"/>
    <mergeCell ref="V9:AF9"/>
  </mergeCells>
  <pageMargins left="0.47" right="0.21" top="0.2" bottom="0.2" header="0.2"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9"/>
  <sheetViews>
    <sheetView workbookViewId="0">
      <selection activeCell="A4" sqref="A4:E4"/>
    </sheetView>
  </sheetViews>
  <sheetFormatPr defaultRowHeight="15" x14ac:dyDescent="0.25"/>
  <cols>
    <col min="1" max="1" width="5" customWidth="1"/>
    <col min="2" max="2" width="47.42578125" customWidth="1"/>
    <col min="3" max="3" width="13.42578125" customWidth="1"/>
    <col min="4" max="4" width="12.7109375" customWidth="1"/>
    <col min="5" max="5" width="11" customWidth="1"/>
  </cols>
  <sheetData>
    <row r="1" spans="1:6" ht="15.75" x14ac:dyDescent="0.25">
      <c r="E1" s="1" t="s">
        <v>643</v>
      </c>
    </row>
    <row r="2" spans="1:6" ht="15.75" x14ac:dyDescent="0.25">
      <c r="E2" s="1"/>
    </row>
    <row r="3" spans="1:6" ht="35.25" customHeight="1" x14ac:dyDescent="0.25">
      <c r="A3" s="168" t="s">
        <v>574</v>
      </c>
      <c r="B3" s="168"/>
      <c r="C3" s="168"/>
      <c r="D3" s="168"/>
      <c r="E3" s="168"/>
    </row>
    <row r="4" spans="1:6" ht="17.25" customHeight="1" x14ac:dyDescent="0.25">
      <c r="A4" s="173" t="s">
        <v>654</v>
      </c>
      <c r="B4" s="173"/>
      <c r="C4" s="173"/>
      <c r="D4" s="173"/>
      <c r="E4" s="173"/>
      <c r="F4" s="62"/>
    </row>
    <row r="5" spans="1:6" ht="17.25" customHeight="1" x14ac:dyDescent="0.25">
      <c r="A5" s="79"/>
      <c r="B5" s="79"/>
      <c r="C5" s="79"/>
      <c r="D5" s="79"/>
      <c r="E5" s="79"/>
      <c r="F5" s="62"/>
    </row>
    <row r="6" spans="1:6" ht="15.75" x14ac:dyDescent="0.25">
      <c r="E6" s="2" t="s">
        <v>5</v>
      </c>
    </row>
    <row r="7" spans="1:6" ht="31.5" x14ac:dyDescent="0.25">
      <c r="A7" s="5" t="s">
        <v>0</v>
      </c>
      <c r="B7" s="5" t="s">
        <v>1</v>
      </c>
      <c r="C7" s="5" t="s">
        <v>124</v>
      </c>
      <c r="D7" s="5" t="s">
        <v>134</v>
      </c>
      <c r="E7" s="5" t="s">
        <v>68</v>
      </c>
    </row>
    <row r="8" spans="1:6" ht="15.75" x14ac:dyDescent="0.25">
      <c r="A8" s="5" t="s">
        <v>2</v>
      </c>
      <c r="B8" s="5" t="s">
        <v>3</v>
      </c>
      <c r="C8" s="5">
        <v>1</v>
      </c>
      <c r="D8" s="5">
        <v>2</v>
      </c>
      <c r="E8" s="5">
        <v>3</v>
      </c>
    </row>
    <row r="9" spans="1:6" ht="15.75" x14ac:dyDescent="0.25">
      <c r="A9" s="5" t="s">
        <v>2</v>
      </c>
      <c r="B9" s="6" t="s">
        <v>49</v>
      </c>
      <c r="C9" s="4"/>
      <c r="D9" s="4"/>
      <c r="E9" s="4"/>
    </row>
    <row r="10" spans="1:6" ht="15.75" x14ac:dyDescent="0.25">
      <c r="A10" s="5" t="s">
        <v>11</v>
      </c>
      <c r="B10" s="6" t="s">
        <v>572</v>
      </c>
      <c r="C10" s="18">
        <f>C11+C12+C15</f>
        <v>7896906</v>
      </c>
      <c r="D10" s="18">
        <f>D11+D12+D17+D18+D19+D20+D15</f>
        <v>10839900</v>
      </c>
      <c r="E10" s="22">
        <f>D10/C10*100</f>
        <v>137.2676843310532</v>
      </c>
    </row>
    <row r="11" spans="1:6" ht="15.75" x14ac:dyDescent="0.25">
      <c r="A11" s="4">
        <v>1</v>
      </c>
      <c r="B11" s="7" t="s">
        <v>51</v>
      </c>
      <c r="C11" s="17">
        <f>1488500+2949345</f>
        <v>4437845</v>
      </c>
      <c r="D11" s="17">
        <f>2157379+2868182</f>
        <v>5025561</v>
      </c>
      <c r="E11" s="25">
        <f t="shared" ref="E11:E14" si="0">D11/C11*100</f>
        <v>113.24327460738263</v>
      </c>
    </row>
    <row r="12" spans="1:6" ht="15.75" x14ac:dyDescent="0.25">
      <c r="A12" s="4">
        <v>2</v>
      </c>
      <c r="B12" s="7" t="s">
        <v>52</v>
      </c>
      <c r="C12" s="19">
        <f>C13+C14</f>
        <v>3419061</v>
      </c>
      <c r="D12" s="19">
        <f>D13+D14</f>
        <v>3799523</v>
      </c>
      <c r="E12" s="25">
        <f t="shared" si="0"/>
        <v>111.1276751131378</v>
      </c>
    </row>
    <row r="13" spans="1:6" ht="15.75" x14ac:dyDescent="0.25">
      <c r="A13" s="4" t="s">
        <v>4</v>
      </c>
      <c r="B13" s="51" t="s">
        <v>139</v>
      </c>
      <c r="C13" s="31">
        <f>1822125+146327</f>
        <v>1968452</v>
      </c>
      <c r="D13" s="31">
        <v>1968452</v>
      </c>
      <c r="E13" s="33">
        <f t="shared" si="0"/>
        <v>100</v>
      </c>
    </row>
    <row r="14" spans="1:6" ht="15.75" x14ac:dyDescent="0.25">
      <c r="A14" s="4" t="s">
        <v>4</v>
      </c>
      <c r="B14" s="51" t="s">
        <v>140</v>
      </c>
      <c r="C14" s="31">
        <f>3419061-1968452</f>
        <v>1450609</v>
      </c>
      <c r="D14" s="31">
        <v>1831071</v>
      </c>
      <c r="E14" s="33">
        <f t="shared" si="0"/>
        <v>126.22774296864283</v>
      </c>
    </row>
    <row r="15" spans="1:6" ht="15.75" x14ac:dyDescent="0.25">
      <c r="A15" s="49">
        <v>3</v>
      </c>
      <c r="B15" s="7" t="s">
        <v>178</v>
      </c>
      <c r="C15" s="19">
        <v>40000</v>
      </c>
      <c r="D15" s="19">
        <v>11860</v>
      </c>
      <c r="E15" s="32"/>
    </row>
    <row r="16" spans="1:6" ht="15.75" x14ac:dyDescent="0.25">
      <c r="A16" s="4">
        <v>4</v>
      </c>
      <c r="B16" s="7" t="s">
        <v>35</v>
      </c>
      <c r="C16" s="17"/>
      <c r="D16" s="17"/>
      <c r="E16" s="4"/>
    </row>
    <row r="17" spans="1:8" ht="15.75" x14ac:dyDescent="0.25">
      <c r="A17" s="4">
        <v>5</v>
      </c>
      <c r="B17" s="7" t="s">
        <v>53</v>
      </c>
      <c r="C17" s="17"/>
      <c r="D17" s="17"/>
      <c r="E17" s="4"/>
    </row>
    <row r="18" spans="1:8" ht="15.75" x14ac:dyDescent="0.25">
      <c r="A18" s="4">
        <v>6</v>
      </c>
      <c r="B18" s="7" t="s">
        <v>36</v>
      </c>
      <c r="C18" s="17"/>
      <c r="D18" s="17">
        <v>1981714</v>
      </c>
      <c r="E18" s="4"/>
    </row>
    <row r="19" spans="1:8" ht="15.75" x14ac:dyDescent="0.25">
      <c r="A19" s="28">
        <v>7</v>
      </c>
      <c r="B19" s="7" t="s">
        <v>180</v>
      </c>
      <c r="C19" s="17"/>
      <c r="D19" s="17">
        <v>17293</v>
      </c>
      <c r="E19" s="28"/>
    </row>
    <row r="20" spans="1:8" ht="15.75" x14ac:dyDescent="0.25">
      <c r="A20" s="28">
        <v>8</v>
      </c>
      <c r="B20" s="7" t="s">
        <v>81</v>
      </c>
      <c r="C20" s="17"/>
      <c r="D20" s="17">
        <v>3949</v>
      </c>
      <c r="E20" s="28"/>
    </row>
    <row r="21" spans="1:8" ht="15.75" x14ac:dyDescent="0.25">
      <c r="A21" s="5" t="s">
        <v>7</v>
      </c>
      <c r="B21" s="6" t="s">
        <v>54</v>
      </c>
      <c r="C21" s="18">
        <f>C22+C23</f>
        <v>7896906</v>
      </c>
      <c r="D21" s="18">
        <f>D22+D23+D26</f>
        <v>10637957</v>
      </c>
      <c r="E21" s="22">
        <f>D21/C21*100</f>
        <v>134.71044229220911</v>
      </c>
    </row>
    <row r="22" spans="1:8" ht="15.75" x14ac:dyDescent="0.25">
      <c r="A22" s="4">
        <v>1</v>
      </c>
      <c r="B22" s="7" t="s">
        <v>55</v>
      </c>
      <c r="C22" s="17">
        <v>5438264</v>
      </c>
      <c r="D22" s="17">
        <f>4617536+1082+132762-4098</f>
        <v>4747282</v>
      </c>
      <c r="E22" s="24">
        <f t="shared" ref="E22:E25" si="1">D22/C22*100</f>
        <v>87.294070313614796</v>
      </c>
    </row>
    <row r="23" spans="1:8" ht="15.75" x14ac:dyDescent="0.25">
      <c r="A23" s="4">
        <v>2</v>
      </c>
      <c r="B23" s="7" t="s">
        <v>59</v>
      </c>
      <c r="C23" s="17">
        <f>C24+C25</f>
        <v>2458642</v>
      </c>
      <c r="D23" s="17">
        <f>D24+D25</f>
        <v>2933208</v>
      </c>
      <c r="E23" s="24">
        <f t="shared" si="1"/>
        <v>119.30195612049252</v>
      </c>
    </row>
    <row r="24" spans="1:8" ht="15.75" x14ac:dyDescent="0.25">
      <c r="A24" s="4" t="s">
        <v>4</v>
      </c>
      <c r="B24" s="51" t="s">
        <v>56</v>
      </c>
      <c r="C24" s="31">
        <v>2450107</v>
      </c>
      <c r="D24" s="31">
        <v>2375730</v>
      </c>
      <c r="E24" s="33">
        <f t="shared" si="1"/>
        <v>96.964336659582614</v>
      </c>
    </row>
    <row r="25" spans="1:8" ht="15.75" x14ac:dyDescent="0.25">
      <c r="A25" s="4" t="s">
        <v>4</v>
      </c>
      <c r="B25" s="51" t="s">
        <v>57</v>
      </c>
      <c r="C25" s="31">
        <f>2458642-2450107</f>
        <v>8535</v>
      </c>
      <c r="D25" s="31">
        <v>557478</v>
      </c>
      <c r="E25" s="33">
        <f t="shared" si="1"/>
        <v>6531.6695957820739</v>
      </c>
    </row>
    <row r="26" spans="1:8" ht="15.75" x14ac:dyDescent="0.25">
      <c r="A26" s="4">
        <v>3</v>
      </c>
      <c r="B26" s="7" t="s">
        <v>42</v>
      </c>
      <c r="C26" s="17"/>
      <c r="D26" s="17">
        <v>2957467</v>
      </c>
      <c r="E26" s="22"/>
    </row>
    <row r="27" spans="1:8" ht="31.5" hidden="1" x14ac:dyDescent="0.25">
      <c r="A27" s="5" t="s">
        <v>8</v>
      </c>
      <c r="B27" s="6" t="s">
        <v>264</v>
      </c>
      <c r="C27" s="4"/>
      <c r="D27" s="4"/>
      <c r="E27" s="4"/>
    </row>
    <row r="28" spans="1:8" ht="15.75" x14ac:dyDescent="0.25">
      <c r="A28" s="5" t="s">
        <v>8</v>
      </c>
      <c r="B28" s="6" t="s">
        <v>570</v>
      </c>
      <c r="C28" s="4"/>
      <c r="D28" s="18">
        <f>D10-D21</f>
        <v>201943</v>
      </c>
      <c r="E28" s="4"/>
    </row>
    <row r="29" spans="1:8" ht="15.75" x14ac:dyDescent="0.25">
      <c r="A29" s="5" t="s">
        <v>3</v>
      </c>
      <c r="B29" s="6" t="s">
        <v>58</v>
      </c>
      <c r="C29" s="4"/>
      <c r="D29" s="4"/>
      <c r="E29" s="4"/>
    </row>
    <row r="30" spans="1:8" ht="15.75" x14ac:dyDescent="0.25">
      <c r="A30" s="5" t="s">
        <v>11</v>
      </c>
      <c r="B30" s="6" t="s">
        <v>50</v>
      </c>
      <c r="C30" s="18">
        <f>C31+C32</f>
        <v>3545387</v>
      </c>
      <c r="D30" s="18">
        <f>D31+D32+D35+D36+D37</f>
        <v>6384235</v>
      </c>
      <c r="E30" s="22">
        <f>D30/C30*100</f>
        <v>180.07159726145551</v>
      </c>
      <c r="H30" s="23"/>
    </row>
    <row r="31" spans="1:8" ht="15.75" x14ac:dyDescent="0.25">
      <c r="A31" s="4">
        <v>1</v>
      </c>
      <c r="B31" s="7" t="s">
        <v>51</v>
      </c>
      <c r="C31" s="17">
        <v>1086745</v>
      </c>
      <c r="D31" s="17">
        <f>1228218+105190+464936+124898</f>
        <v>1923242</v>
      </c>
      <c r="E31" s="22">
        <f t="shared" ref="E31:E32" si="2">D31/C31*100</f>
        <v>176.972702887982</v>
      </c>
    </row>
    <row r="32" spans="1:8" ht="15.75" x14ac:dyDescent="0.25">
      <c r="A32" s="4">
        <v>2</v>
      </c>
      <c r="B32" s="7" t="s">
        <v>52</v>
      </c>
      <c r="C32" s="17">
        <f>C33+C34</f>
        <v>2458642</v>
      </c>
      <c r="D32" s="17">
        <f>D33+D34</f>
        <v>3487903</v>
      </c>
      <c r="E32" s="22">
        <f t="shared" si="2"/>
        <v>141.86298777943273</v>
      </c>
    </row>
    <row r="33" spans="1:7" ht="15.75" x14ac:dyDescent="0.25">
      <c r="A33" s="4" t="s">
        <v>4</v>
      </c>
      <c r="B33" s="51" t="s">
        <v>34</v>
      </c>
      <c r="C33" s="31">
        <v>2450107</v>
      </c>
      <c r="D33" s="31">
        <f>2375730+383799</f>
        <v>2759529</v>
      </c>
      <c r="E33" s="33"/>
      <c r="G33" s="23"/>
    </row>
    <row r="34" spans="1:7" ht="15.75" x14ac:dyDescent="0.25">
      <c r="A34" s="4" t="s">
        <v>4</v>
      </c>
      <c r="B34" s="51" t="s">
        <v>12</v>
      </c>
      <c r="C34" s="31">
        <f>2458642-2450107</f>
        <v>8535</v>
      </c>
      <c r="D34" s="31">
        <f>557478+170896</f>
        <v>728374</v>
      </c>
      <c r="E34" s="33"/>
    </row>
    <row r="35" spans="1:7" ht="15.75" x14ac:dyDescent="0.25">
      <c r="A35" s="4">
        <v>3</v>
      </c>
      <c r="B35" s="7" t="s">
        <v>53</v>
      </c>
      <c r="C35" s="30"/>
      <c r="D35" s="17">
        <f>134293+131001</f>
        <v>265294</v>
      </c>
      <c r="E35" s="22"/>
    </row>
    <row r="36" spans="1:7" ht="15.75" x14ac:dyDescent="0.25">
      <c r="A36" s="4">
        <v>4</v>
      </c>
      <c r="B36" s="7" t="s">
        <v>36</v>
      </c>
      <c r="C36" s="30"/>
      <c r="D36" s="17">
        <v>707441</v>
      </c>
      <c r="E36" s="22"/>
    </row>
    <row r="37" spans="1:7" ht="15.75" x14ac:dyDescent="0.25">
      <c r="A37" s="28">
        <v>5</v>
      </c>
      <c r="B37" s="7" t="s">
        <v>180</v>
      </c>
      <c r="C37" s="30"/>
      <c r="D37" s="17">
        <v>355</v>
      </c>
      <c r="E37" s="22"/>
    </row>
    <row r="38" spans="1:7" ht="15.75" x14ac:dyDescent="0.25">
      <c r="A38" s="5" t="s">
        <v>7</v>
      </c>
      <c r="B38" s="6" t="s">
        <v>54</v>
      </c>
      <c r="C38" s="18">
        <f>C39</f>
        <v>3545387</v>
      </c>
      <c r="D38" s="18">
        <f>D39+D40+D43</f>
        <v>5856987</v>
      </c>
      <c r="E38" s="22">
        <f>D38/C38*100</f>
        <v>165.20021650668883</v>
      </c>
    </row>
    <row r="39" spans="1:7" ht="15.75" x14ac:dyDescent="0.25">
      <c r="A39" s="4">
        <v>1</v>
      </c>
      <c r="B39" s="7" t="s">
        <v>254</v>
      </c>
      <c r="C39" s="17">
        <v>3545387</v>
      </c>
      <c r="D39" s="17">
        <f>5062245+794742-864386-57337-554695</f>
        <v>4380569</v>
      </c>
      <c r="E39" s="25">
        <f t="shared" ref="E39" si="3">D39/C39*100</f>
        <v>123.55686417307898</v>
      </c>
    </row>
    <row r="40" spans="1:7" ht="15.75" x14ac:dyDescent="0.25">
      <c r="A40" s="4">
        <v>2</v>
      </c>
      <c r="B40" s="7" t="s">
        <v>253</v>
      </c>
      <c r="C40" s="30"/>
      <c r="D40" s="17">
        <f>D41+D42</f>
        <v>554695</v>
      </c>
      <c r="E40" s="28"/>
    </row>
    <row r="41" spans="1:7" ht="15.75" x14ac:dyDescent="0.25">
      <c r="A41" s="4" t="s">
        <v>4</v>
      </c>
      <c r="B41" s="51" t="s">
        <v>56</v>
      </c>
      <c r="C41" s="30"/>
      <c r="D41" s="31">
        <v>383799</v>
      </c>
      <c r="E41" s="28"/>
    </row>
    <row r="42" spans="1:7" ht="15.75" x14ac:dyDescent="0.25">
      <c r="A42" s="4" t="s">
        <v>4</v>
      </c>
      <c r="B42" s="51" t="s">
        <v>57</v>
      </c>
      <c r="C42" s="30"/>
      <c r="D42" s="31">
        <v>170896</v>
      </c>
      <c r="E42" s="28"/>
    </row>
    <row r="43" spans="1:7" ht="15.75" x14ac:dyDescent="0.25">
      <c r="A43" s="4">
        <v>3</v>
      </c>
      <c r="B43" s="7" t="s">
        <v>42</v>
      </c>
      <c r="C43" s="30"/>
      <c r="D43" s="17">
        <v>921723</v>
      </c>
      <c r="E43" s="28"/>
    </row>
    <row r="44" spans="1:7" ht="15.75" x14ac:dyDescent="0.25">
      <c r="A44" s="5" t="s">
        <v>8</v>
      </c>
      <c r="B44" s="6" t="s">
        <v>571</v>
      </c>
      <c r="C44" s="30"/>
      <c r="D44" s="18">
        <f>D30-D38</f>
        <v>527248</v>
      </c>
      <c r="E44" s="28"/>
    </row>
    <row r="45" spans="1:7" ht="15.75" x14ac:dyDescent="0.25">
      <c r="A45" s="3"/>
    </row>
    <row r="46" spans="1:7" s="10" customFormat="1" ht="43.5" customHeight="1" x14ac:dyDescent="0.25">
      <c r="A46" s="172"/>
      <c r="B46" s="172"/>
      <c r="C46" s="172"/>
      <c r="D46" s="172"/>
      <c r="E46" s="172"/>
    </row>
    <row r="47" spans="1:7" ht="15.75" x14ac:dyDescent="0.25">
      <c r="A47" s="172"/>
      <c r="B47" s="172"/>
      <c r="C47" s="172"/>
      <c r="D47" s="172"/>
      <c r="E47" s="172"/>
    </row>
    <row r="48" spans="1:7" x14ac:dyDescent="0.25">
      <c r="A48" s="11"/>
    </row>
    <row r="49" spans="1:1" x14ac:dyDescent="0.25">
      <c r="A49" s="11"/>
    </row>
  </sheetData>
  <mergeCells count="4">
    <mergeCell ref="A3:E3"/>
    <mergeCell ref="A46:E46"/>
    <mergeCell ref="A47:E47"/>
    <mergeCell ref="A4:E4"/>
  </mergeCells>
  <pageMargins left="0.47" right="0.33" top="0.4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86"/>
  <sheetViews>
    <sheetView zoomScale="70" zoomScaleNormal="70" workbookViewId="0">
      <selection activeCell="E9" sqref="E9"/>
    </sheetView>
  </sheetViews>
  <sheetFormatPr defaultRowHeight="15" x14ac:dyDescent="0.25"/>
  <cols>
    <col min="1" max="1" width="4.85546875" customWidth="1"/>
    <col min="2" max="2" width="55.7109375" customWidth="1"/>
    <col min="3" max="3" width="13.85546875" customWidth="1"/>
    <col min="4" max="4" width="13.140625" customWidth="1"/>
    <col min="5" max="5" width="13.28515625" customWidth="1"/>
    <col min="6" max="6" width="12.5703125" customWidth="1"/>
    <col min="7" max="7" width="13" customWidth="1"/>
    <col min="8" max="8" width="12.140625" customWidth="1"/>
  </cols>
  <sheetData>
    <row r="1" spans="1:12" ht="15.75" x14ac:dyDescent="0.25">
      <c r="H1" s="1" t="s">
        <v>644</v>
      </c>
    </row>
    <row r="2" spans="1:12" ht="15.75" x14ac:dyDescent="0.25">
      <c r="H2" s="1"/>
    </row>
    <row r="3" spans="1:12" ht="15.75" x14ac:dyDescent="0.25">
      <c r="A3" s="168" t="s">
        <v>588</v>
      </c>
      <c r="B3" s="168"/>
      <c r="C3" s="168"/>
      <c r="D3" s="168"/>
      <c r="E3" s="168"/>
      <c r="F3" s="168"/>
      <c r="G3" s="168"/>
      <c r="H3" s="168"/>
    </row>
    <row r="4" spans="1:12" ht="15.75" x14ac:dyDescent="0.25">
      <c r="A4" s="174" t="s">
        <v>655</v>
      </c>
      <c r="B4" s="174"/>
      <c r="C4" s="174"/>
      <c r="D4" s="174"/>
      <c r="E4" s="174"/>
      <c r="F4" s="174"/>
      <c r="G4" s="174"/>
      <c r="H4" s="174"/>
    </row>
    <row r="5" spans="1:12" ht="15.75" x14ac:dyDescent="0.25">
      <c r="A5" s="93"/>
      <c r="B5" s="93"/>
      <c r="C5" s="93"/>
      <c r="D5" s="93"/>
      <c r="E5" s="93"/>
      <c r="F5" s="93"/>
      <c r="G5" s="93"/>
      <c r="H5" s="93"/>
    </row>
    <row r="6" spans="1:12" ht="15.75" x14ac:dyDescent="0.25">
      <c r="H6" s="2" t="s">
        <v>5</v>
      </c>
    </row>
    <row r="7" spans="1:12" ht="18" customHeight="1" x14ac:dyDescent="0.25">
      <c r="A7" s="171" t="s">
        <v>0</v>
      </c>
      <c r="B7" s="171" t="s">
        <v>1</v>
      </c>
      <c r="C7" s="171" t="s">
        <v>124</v>
      </c>
      <c r="D7" s="171"/>
      <c r="E7" s="171" t="s">
        <v>134</v>
      </c>
      <c r="F7" s="171"/>
      <c r="G7" s="171" t="s">
        <v>68</v>
      </c>
      <c r="H7" s="171"/>
    </row>
    <row r="8" spans="1:12" ht="34.5" customHeight="1" x14ac:dyDescent="0.25">
      <c r="A8" s="171"/>
      <c r="B8" s="171"/>
      <c r="C8" s="92" t="s">
        <v>69</v>
      </c>
      <c r="D8" s="92" t="s">
        <v>70</v>
      </c>
      <c r="E8" s="92" t="s">
        <v>69</v>
      </c>
      <c r="F8" s="92" t="s">
        <v>70</v>
      </c>
      <c r="G8" s="92" t="s">
        <v>69</v>
      </c>
      <c r="H8" s="92" t="s">
        <v>70</v>
      </c>
    </row>
    <row r="9" spans="1:12" ht="15.75" x14ac:dyDescent="0.25">
      <c r="A9" s="92" t="s">
        <v>2</v>
      </c>
      <c r="B9" s="92" t="s">
        <v>3</v>
      </c>
      <c r="C9" s="92">
        <v>1</v>
      </c>
      <c r="D9" s="92">
        <v>2</v>
      </c>
      <c r="E9" s="92">
        <v>3</v>
      </c>
      <c r="F9" s="92">
        <v>4</v>
      </c>
      <c r="G9" s="92" t="s">
        <v>71</v>
      </c>
      <c r="H9" s="92" t="s">
        <v>72</v>
      </c>
    </row>
    <row r="10" spans="1:12" ht="15.75" x14ac:dyDescent="0.25">
      <c r="A10" s="92"/>
      <c r="B10" s="12" t="s">
        <v>565</v>
      </c>
      <c r="C10" s="42">
        <f>C11</f>
        <v>8500000</v>
      </c>
      <c r="D10" s="42">
        <f>D11+D76+D77</f>
        <v>8983651</v>
      </c>
      <c r="E10" s="42">
        <f>E11+E76+E79+E80+E77+E78</f>
        <v>20884930</v>
      </c>
      <c r="F10" s="42">
        <f>F11+F76+F79+F80+F77+F78</f>
        <v>17224135</v>
      </c>
      <c r="G10" s="43">
        <f>E10/C10*100</f>
        <v>245.70505882352938</v>
      </c>
      <c r="H10" s="43">
        <f>F10/D10*100</f>
        <v>191.72756154485521</v>
      </c>
    </row>
    <row r="11" spans="1:12" ht="15.75" x14ac:dyDescent="0.25">
      <c r="A11" s="92" t="s">
        <v>2</v>
      </c>
      <c r="B11" s="12" t="s">
        <v>141</v>
      </c>
      <c r="C11" s="18">
        <f>C12+C66+C67</f>
        <v>8500000</v>
      </c>
      <c r="D11" s="18">
        <f>D12+D66+D67</f>
        <v>5524590</v>
      </c>
      <c r="E11" s="18">
        <f>E12+E66+E67+E75</f>
        <v>10612465</v>
      </c>
      <c r="F11" s="18">
        <f>F12+F66+F67+F75</f>
        <v>6952752</v>
      </c>
      <c r="G11" s="43">
        <f t="shared" ref="G11:H13" si="0">E11/C11*100</f>
        <v>124.85252941176471</v>
      </c>
      <c r="H11" s="43">
        <f t="shared" si="0"/>
        <v>125.85100432792298</v>
      </c>
      <c r="I11" s="23"/>
    </row>
    <row r="12" spans="1:12" ht="15.75" x14ac:dyDescent="0.25">
      <c r="A12" s="92" t="s">
        <v>11</v>
      </c>
      <c r="B12" s="12" t="s">
        <v>6</v>
      </c>
      <c r="C12" s="18">
        <f>C13+C19+C26+C33+C40+C41+C44+C45+C50+C51+C52+C53+C54+C55+C60+C61+C62+C65</f>
        <v>6020000</v>
      </c>
      <c r="D12" s="18">
        <f>D13+D19+D26+D33+D40+D41+D44+D45+D50+D51+D52+D53+D54+D55+D60+D61+D62+D65</f>
        <v>5524590</v>
      </c>
      <c r="E12" s="18">
        <f>E13+E19+E26+E33+E40+E41+E44+E45+E50+E51+E52+E53+E54+E55+E60+E61+E62+E65</f>
        <v>7385721</v>
      </c>
      <c r="F12" s="18">
        <f>F13+F19+F26+F33+F40+F41+F44+F45+F50+F51+F52+F53+F54+F55+F60+F61+F62+F65</f>
        <v>6948803</v>
      </c>
      <c r="G12" s="22">
        <f t="shared" si="0"/>
        <v>122.68639534883721</v>
      </c>
      <c r="H12" s="43">
        <f t="shared" si="0"/>
        <v>125.77952391037164</v>
      </c>
      <c r="J12">
        <v>1420000</v>
      </c>
    </row>
    <row r="13" spans="1:12" ht="20.25" customHeight="1" x14ac:dyDescent="0.25">
      <c r="A13" s="35">
        <v>1</v>
      </c>
      <c r="B13" s="34" t="s">
        <v>182</v>
      </c>
      <c r="C13" s="38">
        <f>SUM(C14:C18)</f>
        <v>960000</v>
      </c>
      <c r="D13" s="38">
        <f>SUM(D14:D18)</f>
        <v>960000</v>
      </c>
      <c r="E13" s="38">
        <f>SUM(E14:E18)</f>
        <v>1135905</v>
      </c>
      <c r="F13" s="38">
        <f>SUM(F14:F18)</f>
        <v>1135905</v>
      </c>
      <c r="G13" s="24">
        <f t="shared" si="0"/>
        <v>118.32343750000001</v>
      </c>
      <c r="H13" s="24">
        <f t="shared" si="0"/>
        <v>118.32343750000001</v>
      </c>
      <c r="K13">
        <v>2325578</v>
      </c>
    </row>
    <row r="14" spans="1:12" ht="15.75" x14ac:dyDescent="0.25">
      <c r="A14" s="7"/>
      <c r="B14" s="39" t="s">
        <v>183</v>
      </c>
      <c r="C14" s="40">
        <v>757000</v>
      </c>
      <c r="D14" s="40">
        <v>757000</v>
      </c>
      <c r="E14" s="40">
        <v>899704</v>
      </c>
      <c r="F14" s="40">
        <v>899704</v>
      </c>
      <c r="G14" s="36"/>
      <c r="H14" s="36"/>
    </row>
    <row r="15" spans="1:12" ht="15.75" x14ac:dyDescent="0.25">
      <c r="A15" s="7"/>
      <c r="B15" s="39" t="s">
        <v>184</v>
      </c>
      <c r="C15" s="40">
        <v>123000</v>
      </c>
      <c r="D15" s="40">
        <v>123000</v>
      </c>
      <c r="E15" s="40">
        <v>144628</v>
      </c>
      <c r="F15" s="40">
        <v>144628</v>
      </c>
      <c r="G15" s="36"/>
      <c r="H15" s="36"/>
    </row>
    <row r="16" spans="1:12" ht="15.75" x14ac:dyDescent="0.25">
      <c r="A16" s="7"/>
      <c r="B16" s="39" t="s">
        <v>185</v>
      </c>
      <c r="C16" s="40"/>
      <c r="D16" s="40"/>
      <c r="E16" s="40"/>
      <c r="F16" s="40"/>
      <c r="G16" s="36"/>
      <c r="H16" s="36"/>
      <c r="J16" s="23">
        <f>F12-K13</f>
        <v>4623225</v>
      </c>
      <c r="K16" s="23">
        <f>D12-J12</f>
        <v>4104590</v>
      </c>
      <c r="L16" s="23">
        <f>J16-K16</f>
        <v>518635</v>
      </c>
    </row>
    <row r="17" spans="1:11" ht="15.75" x14ac:dyDescent="0.25">
      <c r="A17" s="7"/>
      <c r="B17" s="39" t="s">
        <v>186</v>
      </c>
      <c r="C17" s="40">
        <v>80000</v>
      </c>
      <c r="D17" s="40">
        <v>80000</v>
      </c>
      <c r="E17" s="40">
        <v>91573</v>
      </c>
      <c r="F17" s="40">
        <v>91573</v>
      </c>
      <c r="G17" s="36"/>
      <c r="H17" s="36"/>
      <c r="K17" s="23">
        <f>J16-K16</f>
        <v>518635</v>
      </c>
    </row>
    <row r="18" spans="1:11" ht="15.75" x14ac:dyDescent="0.25">
      <c r="A18" s="7"/>
      <c r="B18" s="39" t="s">
        <v>187</v>
      </c>
      <c r="C18" s="36"/>
      <c r="D18" s="36"/>
      <c r="E18" s="40"/>
      <c r="F18" s="40"/>
      <c r="G18" s="36"/>
      <c r="H18" s="36"/>
    </row>
    <row r="19" spans="1:11" ht="22.5" customHeight="1" x14ac:dyDescent="0.25">
      <c r="A19" s="54">
        <v>2</v>
      </c>
      <c r="B19" s="7" t="s">
        <v>188</v>
      </c>
      <c r="C19" s="41">
        <f>SUM(C20:C24)</f>
        <v>115000</v>
      </c>
      <c r="D19" s="41">
        <f>SUM(D20:D24)</f>
        <v>115000</v>
      </c>
      <c r="E19" s="41">
        <f>SUM(E20:E25)</f>
        <v>113203</v>
      </c>
      <c r="F19" s="41">
        <f>SUM(F20:F25)</f>
        <v>113203</v>
      </c>
      <c r="G19" s="44">
        <f>E19/C19*100</f>
        <v>98.437391304347827</v>
      </c>
      <c r="H19" s="44">
        <f>F19/D19*100</f>
        <v>98.437391304347827</v>
      </c>
    </row>
    <row r="20" spans="1:11" ht="15.75" x14ac:dyDescent="0.25">
      <c r="A20" s="7"/>
      <c r="B20" s="39" t="s">
        <v>183</v>
      </c>
      <c r="C20" s="40">
        <v>81950</v>
      </c>
      <c r="D20" s="36">
        <v>81950</v>
      </c>
      <c r="E20" s="36">
        <v>71430</v>
      </c>
      <c r="F20" s="36">
        <v>71430</v>
      </c>
      <c r="G20" s="44"/>
      <c r="H20" s="36"/>
    </row>
    <row r="21" spans="1:11" ht="15.75" x14ac:dyDescent="0.25">
      <c r="A21" s="7"/>
      <c r="B21" s="39" t="s">
        <v>184</v>
      </c>
      <c r="C21" s="40">
        <v>25000</v>
      </c>
      <c r="D21" s="36">
        <v>25000</v>
      </c>
      <c r="E21" s="36">
        <v>31857</v>
      </c>
      <c r="F21" s="36">
        <v>31857</v>
      </c>
      <c r="G21" s="44"/>
      <c r="H21" s="36"/>
    </row>
    <row r="22" spans="1:11" ht="15.75" x14ac:dyDescent="0.25">
      <c r="A22" s="7"/>
      <c r="B22" s="39" t="s">
        <v>185</v>
      </c>
      <c r="C22" s="40">
        <v>50</v>
      </c>
      <c r="D22" s="36">
        <v>50</v>
      </c>
      <c r="E22" s="36">
        <v>147</v>
      </c>
      <c r="F22" s="36">
        <v>147</v>
      </c>
      <c r="G22" s="44"/>
      <c r="H22" s="36"/>
    </row>
    <row r="23" spans="1:11" ht="15.75" x14ac:dyDescent="0.25">
      <c r="A23" s="7"/>
      <c r="B23" s="39" t="s">
        <v>186</v>
      </c>
      <c r="C23" s="40">
        <v>8000</v>
      </c>
      <c r="D23" s="36">
        <v>8000</v>
      </c>
      <c r="E23" s="36">
        <v>9769</v>
      </c>
      <c r="F23" s="36">
        <v>9769</v>
      </c>
      <c r="G23" s="44"/>
      <c r="H23" s="36"/>
    </row>
    <row r="24" spans="1:11" ht="15.75" hidden="1" x14ac:dyDescent="0.25">
      <c r="A24" s="7"/>
      <c r="B24" s="39" t="s">
        <v>197</v>
      </c>
      <c r="C24" s="36"/>
      <c r="D24" s="36"/>
      <c r="E24" s="36"/>
      <c r="F24" s="36"/>
      <c r="G24" s="44"/>
      <c r="H24" s="36"/>
    </row>
    <row r="25" spans="1:11" ht="15.75" hidden="1" x14ac:dyDescent="0.25">
      <c r="A25" s="7"/>
      <c r="B25" s="39" t="s">
        <v>187</v>
      </c>
      <c r="C25" s="36"/>
      <c r="D25" s="36"/>
      <c r="E25" s="36"/>
      <c r="F25" s="36"/>
      <c r="G25" s="44"/>
      <c r="H25" s="36"/>
    </row>
    <row r="26" spans="1:11" ht="22.5" customHeight="1" x14ac:dyDescent="0.25">
      <c r="A26" s="54">
        <v>3</v>
      </c>
      <c r="B26" s="7" t="s">
        <v>189</v>
      </c>
      <c r="C26" s="41">
        <f>SUM(C27:C32)</f>
        <v>790000</v>
      </c>
      <c r="D26" s="41">
        <f>SUM(D27:D32)</f>
        <v>790000</v>
      </c>
      <c r="E26" s="36">
        <f>SUM(E27:E32)</f>
        <v>639909</v>
      </c>
      <c r="F26" s="36">
        <f>SUM(F27:F32)</f>
        <v>639909</v>
      </c>
      <c r="G26" s="44">
        <f t="shared" ref="G26" si="1">E26/C26*100</f>
        <v>81.001139240506319</v>
      </c>
      <c r="H26" s="44">
        <f>F26/D26*100</f>
        <v>81.001139240506319</v>
      </c>
    </row>
    <row r="27" spans="1:11" ht="15.75" x14ac:dyDescent="0.25">
      <c r="A27" s="7"/>
      <c r="B27" s="39" t="s">
        <v>183</v>
      </c>
      <c r="C27" s="40">
        <v>455600</v>
      </c>
      <c r="D27" s="36">
        <v>455600</v>
      </c>
      <c r="E27" s="40">
        <v>428636</v>
      </c>
      <c r="F27" s="40">
        <v>428636</v>
      </c>
      <c r="G27" s="44"/>
      <c r="H27" s="36"/>
    </row>
    <row r="28" spans="1:11" ht="15.75" x14ac:dyDescent="0.25">
      <c r="A28" s="7"/>
      <c r="B28" s="39" t="s">
        <v>184</v>
      </c>
      <c r="C28" s="40">
        <v>330000</v>
      </c>
      <c r="D28" s="36">
        <v>330000</v>
      </c>
      <c r="E28" s="40">
        <v>210640</v>
      </c>
      <c r="F28" s="40">
        <v>210640</v>
      </c>
      <c r="G28" s="36"/>
      <c r="H28" s="36"/>
    </row>
    <row r="29" spans="1:11" ht="15.75" x14ac:dyDescent="0.25">
      <c r="A29" s="7"/>
      <c r="B29" s="39" t="s">
        <v>185</v>
      </c>
      <c r="C29" s="40">
        <v>600</v>
      </c>
      <c r="D29" s="36">
        <v>600</v>
      </c>
      <c r="E29" s="40">
        <v>427</v>
      </c>
      <c r="F29" s="40">
        <v>427</v>
      </c>
      <c r="G29" s="36"/>
      <c r="H29" s="36"/>
    </row>
    <row r="30" spans="1:11" ht="15.75" x14ac:dyDescent="0.25">
      <c r="A30" s="7"/>
      <c r="B30" s="39" t="s">
        <v>186</v>
      </c>
      <c r="C30" s="40">
        <v>800</v>
      </c>
      <c r="D30" s="36">
        <v>800</v>
      </c>
      <c r="E30" s="40">
        <v>206</v>
      </c>
      <c r="F30" s="40">
        <v>206</v>
      </c>
      <c r="G30" s="36"/>
      <c r="H30" s="36"/>
    </row>
    <row r="31" spans="1:11" ht="15.75" x14ac:dyDescent="0.25">
      <c r="A31" s="7"/>
      <c r="B31" s="39" t="s">
        <v>190</v>
      </c>
      <c r="C31" s="40">
        <v>3000</v>
      </c>
      <c r="D31" s="36">
        <v>3000</v>
      </c>
      <c r="E31" s="40"/>
      <c r="F31" s="40"/>
      <c r="G31" s="36"/>
      <c r="H31" s="36"/>
    </row>
    <row r="32" spans="1:11" ht="15.75" x14ac:dyDescent="0.25">
      <c r="A32" s="7"/>
      <c r="B32" s="39" t="s">
        <v>187</v>
      </c>
      <c r="C32" s="36"/>
      <c r="D32" s="36"/>
      <c r="E32" s="40"/>
      <c r="F32" s="40"/>
      <c r="G32" s="36"/>
      <c r="H32" s="36"/>
    </row>
    <row r="33" spans="1:8" ht="15.75" x14ac:dyDescent="0.25">
      <c r="A33" s="54">
        <v>4</v>
      </c>
      <c r="B33" s="7" t="s">
        <v>191</v>
      </c>
      <c r="C33" s="19">
        <f>SUM(C34:C39)</f>
        <v>950000</v>
      </c>
      <c r="D33" s="19">
        <f>SUM(D34:D39)</f>
        <v>950000</v>
      </c>
      <c r="E33" s="19">
        <f>SUM(E34:E39)</f>
        <v>1059050</v>
      </c>
      <c r="F33" s="19">
        <f>SUM(F34:F39)</f>
        <v>1054441</v>
      </c>
      <c r="G33" s="25">
        <f>E33/C33*100</f>
        <v>111.47894736842106</v>
      </c>
      <c r="H33" s="25">
        <f>F33/D33*100</f>
        <v>110.99378947368422</v>
      </c>
    </row>
    <row r="34" spans="1:8" ht="15.75" x14ac:dyDescent="0.25">
      <c r="A34" s="7"/>
      <c r="B34" s="39" t="s">
        <v>183</v>
      </c>
      <c r="C34" s="40">
        <v>724780</v>
      </c>
      <c r="D34" s="31">
        <v>724780</v>
      </c>
      <c r="E34" s="36">
        <v>717235</v>
      </c>
      <c r="F34" s="36">
        <v>717235</v>
      </c>
      <c r="G34" s="44"/>
      <c r="H34" s="44"/>
    </row>
    <row r="35" spans="1:8" ht="15.75" x14ac:dyDescent="0.25">
      <c r="A35" s="7"/>
      <c r="B35" s="39" t="s">
        <v>184</v>
      </c>
      <c r="C35" s="40">
        <v>170900</v>
      </c>
      <c r="D35" s="31">
        <v>170900</v>
      </c>
      <c r="E35" s="36">
        <v>283832</v>
      </c>
      <c r="F35" s="36">
        <f>162790+121033+9</f>
        <v>283832</v>
      </c>
      <c r="G35" s="44"/>
      <c r="H35" s="44"/>
    </row>
    <row r="36" spans="1:8" ht="15.75" x14ac:dyDescent="0.25">
      <c r="A36" s="7"/>
      <c r="B36" s="39" t="s">
        <v>185</v>
      </c>
      <c r="C36" s="40">
        <v>11640</v>
      </c>
      <c r="D36" s="31">
        <v>11640</v>
      </c>
      <c r="E36" s="36">
        <v>12939</v>
      </c>
      <c r="F36" s="36">
        <f>4814+2746+770</f>
        <v>8330</v>
      </c>
      <c r="G36" s="44"/>
      <c r="H36" s="44"/>
    </row>
    <row r="37" spans="1:8" ht="15.75" x14ac:dyDescent="0.25">
      <c r="A37" s="7"/>
      <c r="B37" s="39" t="s">
        <v>186</v>
      </c>
      <c r="C37" s="40">
        <v>42680</v>
      </c>
      <c r="D37" s="31">
        <v>42680</v>
      </c>
      <c r="E37" s="36">
        <v>45044</v>
      </c>
      <c r="F37" s="36">
        <v>45044</v>
      </c>
      <c r="G37" s="44"/>
      <c r="H37" s="44"/>
    </row>
    <row r="38" spans="1:8" ht="15.75" hidden="1" x14ac:dyDescent="0.25">
      <c r="A38" s="7"/>
      <c r="B38" s="39" t="s">
        <v>187</v>
      </c>
      <c r="C38" s="40"/>
      <c r="D38" s="31"/>
      <c r="E38" s="36"/>
      <c r="F38" s="36"/>
      <c r="G38" s="44"/>
      <c r="H38" s="44"/>
    </row>
    <row r="39" spans="1:8" ht="15.75" hidden="1" x14ac:dyDescent="0.25">
      <c r="A39" s="7"/>
      <c r="B39" s="39" t="s">
        <v>192</v>
      </c>
      <c r="C39" s="40"/>
      <c r="D39" s="31"/>
      <c r="E39" s="17"/>
      <c r="F39" s="36"/>
      <c r="G39" s="44"/>
      <c r="H39" s="44"/>
    </row>
    <row r="40" spans="1:8" ht="15.75" x14ac:dyDescent="0.25">
      <c r="A40" s="54">
        <v>5</v>
      </c>
      <c r="B40" s="7" t="s">
        <v>45</v>
      </c>
      <c r="C40" s="17">
        <v>410000</v>
      </c>
      <c r="D40" s="17">
        <v>410000</v>
      </c>
      <c r="E40" s="17">
        <v>510722</v>
      </c>
      <c r="F40" s="17">
        <f>368837+68640+73245</f>
        <v>510722</v>
      </c>
      <c r="G40" s="25">
        <f>E40/C40*100</f>
        <v>124.56634146341463</v>
      </c>
      <c r="H40" s="25">
        <f>F40/D40*100</f>
        <v>124.56634146341463</v>
      </c>
    </row>
    <row r="41" spans="1:8" ht="15.75" x14ac:dyDescent="0.25">
      <c r="A41" s="54">
        <v>6</v>
      </c>
      <c r="B41" s="7" t="s">
        <v>46</v>
      </c>
      <c r="C41" s="17">
        <v>590000</v>
      </c>
      <c r="D41" s="17">
        <f>D42+D43</f>
        <v>219500</v>
      </c>
      <c r="E41" s="17">
        <f>E42+E43</f>
        <v>404372</v>
      </c>
      <c r="F41" s="17">
        <f>F42+F43</f>
        <v>150428</v>
      </c>
      <c r="G41" s="25">
        <f>E41/C41*100</f>
        <v>68.537627118644068</v>
      </c>
      <c r="H41" s="25">
        <f>F41/D41*100</f>
        <v>68.532118451025056</v>
      </c>
    </row>
    <row r="42" spans="1:8" ht="15.75" x14ac:dyDescent="0.25">
      <c r="A42" s="54" t="s">
        <v>4</v>
      </c>
      <c r="B42" s="8" t="s">
        <v>193</v>
      </c>
      <c r="C42" s="31">
        <v>370500</v>
      </c>
      <c r="D42" s="17"/>
      <c r="E42" s="31">
        <v>253944</v>
      </c>
      <c r="F42" s="30"/>
      <c r="G42" s="32"/>
      <c r="H42" s="32"/>
    </row>
    <row r="43" spans="1:8" ht="15.75" x14ac:dyDescent="0.25">
      <c r="A43" s="54" t="s">
        <v>4</v>
      </c>
      <c r="B43" s="8" t="s">
        <v>194</v>
      </c>
      <c r="C43" s="31">
        <v>219500</v>
      </c>
      <c r="D43" s="17">
        <v>219500</v>
      </c>
      <c r="E43" s="31">
        <v>150428</v>
      </c>
      <c r="F43" s="31">
        <v>150428</v>
      </c>
      <c r="G43" s="32"/>
      <c r="H43" s="32"/>
    </row>
    <row r="44" spans="1:8" ht="15.75" x14ac:dyDescent="0.25">
      <c r="A44" s="54">
        <v>7</v>
      </c>
      <c r="B44" s="7" t="s">
        <v>94</v>
      </c>
      <c r="C44" s="17">
        <v>220000</v>
      </c>
      <c r="D44" s="17">
        <v>220000</v>
      </c>
      <c r="E44" s="31">
        <v>298752</v>
      </c>
      <c r="F44" s="17">
        <v>298752</v>
      </c>
      <c r="G44" s="25">
        <f>E44/C44*100</f>
        <v>135.79636363636362</v>
      </c>
      <c r="H44" s="25">
        <f>F44/D44*100</f>
        <v>135.79636363636362</v>
      </c>
    </row>
    <row r="45" spans="1:8" ht="15.75" x14ac:dyDescent="0.25">
      <c r="A45" s="54">
        <v>8</v>
      </c>
      <c r="B45" s="7" t="s">
        <v>142</v>
      </c>
      <c r="C45" s="17">
        <f>SUM(C46:C49)</f>
        <v>140000</v>
      </c>
      <c r="D45" s="17">
        <f>SUM(D46:D49)</f>
        <v>90000</v>
      </c>
      <c r="E45" s="17">
        <f>SUM(E46:E49)</f>
        <v>137741</v>
      </c>
      <c r="F45" s="17">
        <f>SUM(F46:F49)</f>
        <v>78313</v>
      </c>
      <c r="G45" s="25">
        <f>E45/C45*100</f>
        <v>98.386428571428581</v>
      </c>
      <c r="H45" s="25">
        <f t="shared" ref="H45" si="2">F45/D45*100</f>
        <v>87.01444444444445</v>
      </c>
    </row>
    <row r="46" spans="1:8" ht="15.75" x14ac:dyDescent="0.25">
      <c r="A46" s="54" t="s">
        <v>4</v>
      </c>
      <c r="B46" s="8" t="s">
        <v>95</v>
      </c>
      <c r="C46" s="17">
        <v>50000</v>
      </c>
      <c r="D46" s="17"/>
      <c r="E46" s="31">
        <v>59993</v>
      </c>
      <c r="F46" s="17">
        <f>506+60</f>
        <v>566</v>
      </c>
      <c r="G46" s="30"/>
      <c r="H46" s="25"/>
    </row>
    <row r="47" spans="1:8" ht="15.75" x14ac:dyDescent="0.25">
      <c r="A47" s="54" t="s">
        <v>4</v>
      </c>
      <c r="B47" s="8" t="s">
        <v>195</v>
      </c>
      <c r="C47" s="17">
        <v>63200</v>
      </c>
      <c r="D47" s="17">
        <v>63200</v>
      </c>
      <c r="E47" s="31">
        <v>54386</v>
      </c>
      <c r="F47" s="31">
        <f>29720+17061+7603</f>
        <v>54384</v>
      </c>
      <c r="G47" s="30"/>
      <c r="H47" s="30"/>
    </row>
    <row r="48" spans="1:8" ht="15.75" x14ac:dyDescent="0.25">
      <c r="A48" s="54" t="s">
        <v>4</v>
      </c>
      <c r="B48" s="8" t="s">
        <v>143</v>
      </c>
      <c r="C48" s="17">
        <v>8500</v>
      </c>
      <c r="D48" s="17">
        <v>8500</v>
      </c>
      <c r="E48" s="31">
        <v>3728</v>
      </c>
      <c r="F48" s="31">
        <f>37+3691</f>
        <v>3728</v>
      </c>
      <c r="G48" s="30"/>
      <c r="H48" s="30"/>
    </row>
    <row r="49" spans="1:8" ht="15.75" x14ac:dyDescent="0.25">
      <c r="A49" s="54" t="s">
        <v>4</v>
      </c>
      <c r="B49" s="8" t="s">
        <v>196</v>
      </c>
      <c r="C49" s="17">
        <v>18300</v>
      </c>
      <c r="D49" s="17">
        <v>18300</v>
      </c>
      <c r="E49" s="31">
        <v>19634</v>
      </c>
      <c r="F49" s="31">
        <f>696+11454+7485</f>
        <v>19635</v>
      </c>
      <c r="G49" s="30"/>
      <c r="H49" s="30"/>
    </row>
    <row r="50" spans="1:8" ht="15.75" x14ac:dyDescent="0.25">
      <c r="A50" s="54">
        <v>9</v>
      </c>
      <c r="B50" s="7" t="s">
        <v>73</v>
      </c>
      <c r="C50" s="17">
        <v>2000</v>
      </c>
      <c r="D50" s="17">
        <v>2000</v>
      </c>
      <c r="E50" s="17">
        <v>5383</v>
      </c>
      <c r="F50" s="17">
        <f>789+4594</f>
        <v>5383</v>
      </c>
      <c r="G50" s="25">
        <f>E50/C50*100</f>
        <v>269.14999999999998</v>
      </c>
      <c r="H50" s="25">
        <f>F50/D50*100</f>
        <v>269.14999999999998</v>
      </c>
    </row>
    <row r="51" spans="1:8" ht="15.75" x14ac:dyDescent="0.25">
      <c r="A51" s="54">
        <v>10</v>
      </c>
      <c r="B51" s="7" t="s">
        <v>74</v>
      </c>
      <c r="C51" s="17">
        <v>8000</v>
      </c>
      <c r="D51" s="17">
        <v>8000</v>
      </c>
      <c r="E51" s="17">
        <v>11726</v>
      </c>
      <c r="F51" s="17">
        <v>11726</v>
      </c>
      <c r="G51" s="25">
        <f t="shared" ref="G51:H55" si="3">E51/C51*100</f>
        <v>146.57500000000002</v>
      </c>
      <c r="H51" s="25">
        <f t="shared" si="3"/>
        <v>146.57500000000002</v>
      </c>
    </row>
    <row r="52" spans="1:8" ht="15.75" x14ac:dyDescent="0.25">
      <c r="A52" s="54">
        <v>11</v>
      </c>
      <c r="B52" s="7" t="s">
        <v>75</v>
      </c>
      <c r="C52" s="17">
        <v>150000</v>
      </c>
      <c r="D52" s="17">
        <v>150000</v>
      </c>
      <c r="E52" s="17">
        <v>331409</v>
      </c>
      <c r="F52" s="17">
        <f>178291+150768+2350</f>
        <v>331409</v>
      </c>
      <c r="G52" s="25">
        <f t="shared" si="3"/>
        <v>220.93933333333334</v>
      </c>
      <c r="H52" s="25">
        <f t="shared" si="3"/>
        <v>220.93933333333334</v>
      </c>
    </row>
    <row r="53" spans="1:8" ht="15.75" x14ac:dyDescent="0.25">
      <c r="A53" s="54">
        <v>12</v>
      </c>
      <c r="B53" s="7" t="s">
        <v>47</v>
      </c>
      <c r="C53" s="17">
        <v>700000</v>
      </c>
      <c r="D53" s="17">
        <v>700000</v>
      </c>
      <c r="E53" s="17">
        <v>1519995</v>
      </c>
      <c r="F53" s="17">
        <f>879981+640014</f>
        <v>1519995</v>
      </c>
      <c r="G53" s="25">
        <f t="shared" si="3"/>
        <v>217.14214285714286</v>
      </c>
      <c r="H53" s="25">
        <f t="shared" si="3"/>
        <v>217.14214285714286</v>
      </c>
    </row>
    <row r="54" spans="1:8" ht="17.25" customHeight="1" x14ac:dyDescent="0.25">
      <c r="A54" s="54">
        <v>13</v>
      </c>
      <c r="B54" s="7" t="s">
        <v>144</v>
      </c>
      <c r="C54" s="17">
        <v>5000</v>
      </c>
      <c r="D54" s="17">
        <v>5000</v>
      </c>
      <c r="E54" s="17">
        <v>612</v>
      </c>
      <c r="F54" s="17">
        <v>612</v>
      </c>
      <c r="G54" s="25">
        <f t="shared" si="3"/>
        <v>12.24</v>
      </c>
      <c r="H54" s="25">
        <f t="shared" si="3"/>
        <v>12.24</v>
      </c>
    </row>
    <row r="55" spans="1:8" ht="15.75" x14ac:dyDescent="0.25">
      <c r="A55" s="35">
        <v>14</v>
      </c>
      <c r="B55" s="7" t="s">
        <v>76</v>
      </c>
      <c r="C55" s="36">
        <v>720000</v>
      </c>
      <c r="D55" s="17">
        <v>720000</v>
      </c>
      <c r="E55" s="17">
        <f>SUM(E56:E59)</f>
        <v>805583</v>
      </c>
      <c r="F55" s="17">
        <f>SUM(F56:F59)</f>
        <v>805583</v>
      </c>
      <c r="G55" s="25">
        <f t="shared" si="3"/>
        <v>111.88652777777777</v>
      </c>
      <c r="H55" s="25">
        <f t="shared" si="3"/>
        <v>111.88652777777777</v>
      </c>
    </row>
    <row r="56" spans="1:8" ht="15.75" x14ac:dyDescent="0.25">
      <c r="A56" s="35"/>
      <c r="B56" s="39" t="s">
        <v>183</v>
      </c>
      <c r="C56" s="36"/>
      <c r="D56" s="36"/>
      <c r="E56" s="40">
        <v>242359</v>
      </c>
      <c r="F56" s="40">
        <v>242359</v>
      </c>
      <c r="G56" s="25"/>
      <c r="H56" s="25"/>
    </row>
    <row r="57" spans="1:8" ht="15.75" x14ac:dyDescent="0.25">
      <c r="A57" s="35"/>
      <c r="B57" s="39" t="s">
        <v>184</v>
      </c>
      <c r="C57" s="36"/>
      <c r="D57" s="36"/>
      <c r="E57" s="40">
        <v>65652</v>
      </c>
      <c r="F57" s="40">
        <v>65652</v>
      </c>
      <c r="G57" s="25"/>
      <c r="H57" s="25"/>
    </row>
    <row r="58" spans="1:8" ht="15.75" x14ac:dyDescent="0.25">
      <c r="A58" s="35"/>
      <c r="B58" s="39" t="s">
        <v>197</v>
      </c>
      <c r="C58" s="36"/>
      <c r="D58" s="36"/>
      <c r="E58" s="40">
        <v>174988</v>
      </c>
      <c r="F58" s="40">
        <v>174988</v>
      </c>
      <c r="G58" s="25"/>
      <c r="H58" s="25"/>
    </row>
    <row r="59" spans="1:8" ht="15.75" x14ac:dyDescent="0.25">
      <c r="A59" s="7"/>
      <c r="B59" s="39" t="s">
        <v>185</v>
      </c>
      <c r="C59" s="36"/>
      <c r="D59" s="36"/>
      <c r="E59" s="40">
        <v>322584</v>
      </c>
      <c r="F59" s="40">
        <v>322584</v>
      </c>
      <c r="G59" s="25"/>
      <c r="H59" s="25"/>
    </row>
    <row r="60" spans="1:8" ht="18.75" customHeight="1" x14ac:dyDescent="0.25">
      <c r="A60" s="54">
        <v>15</v>
      </c>
      <c r="B60" s="7" t="s">
        <v>77</v>
      </c>
      <c r="C60" s="17">
        <v>65000</v>
      </c>
      <c r="D60" s="36">
        <v>43090</v>
      </c>
      <c r="E60" s="17">
        <v>106115</v>
      </c>
      <c r="F60" s="17">
        <f>37891+37891</f>
        <v>75782</v>
      </c>
      <c r="G60" s="25">
        <f>E60/C60*100</f>
        <v>163.25384615384615</v>
      </c>
      <c r="H60" s="25">
        <f>F60/D60*100</f>
        <v>175.86911116268277</v>
      </c>
    </row>
    <row r="61" spans="1:8" ht="18" customHeight="1" x14ac:dyDescent="0.25">
      <c r="A61" s="54">
        <v>16</v>
      </c>
      <c r="B61" s="7" t="s">
        <v>78</v>
      </c>
      <c r="C61" s="17">
        <v>170000</v>
      </c>
      <c r="D61" s="36">
        <v>117000</v>
      </c>
      <c r="E61" s="17">
        <v>276650</v>
      </c>
      <c r="F61" s="17">
        <f>79659+74009+34378</f>
        <v>188046</v>
      </c>
      <c r="G61" s="25">
        <f t="shared" ref="G61:H62" si="4">E61/C61*100</f>
        <v>162.73529411764707</v>
      </c>
      <c r="H61" s="25">
        <f t="shared" si="4"/>
        <v>160.72307692307692</v>
      </c>
    </row>
    <row r="62" spans="1:8" ht="18" customHeight="1" x14ac:dyDescent="0.25">
      <c r="A62" s="54">
        <v>17</v>
      </c>
      <c r="B62" s="7" t="s">
        <v>79</v>
      </c>
      <c r="C62" s="17">
        <v>16000</v>
      </c>
      <c r="D62" s="36">
        <v>16000</v>
      </c>
      <c r="E62" s="17">
        <v>8528</v>
      </c>
      <c r="F62" s="17">
        <v>8528</v>
      </c>
      <c r="G62" s="25">
        <f t="shared" si="4"/>
        <v>53.300000000000004</v>
      </c>
      <c r="H62" s="25">
        <f t="shared" si="4"/>
        <v>53.300000000000004</v>
      </c>
    </row>
    <row r="63" spans="1:8" ht="15.75" hidden="1" x14ac:dyDescent="0.25">
      <c r="A63" s="54">
        <v>18</v>
      </c>
      <c r="B63" s="7" t="s">
        <v>255</v>
      </c>
      <c r="C63" s="17"/>
      <c r="D63" s="30"/>
      <c r="E63" s="30"/>
      <c r="F63" s="30"/>
      <c r="G63" s="30"/>
      <c r="H63" s="30"/>
    </row>
    <row r="64" spans="1:8" ht="37.5" hidden="1" customHeight="1" x14ac:dyDescent="0.25">
      <c r="A64" s="54">
        <v>19</v>
      </c>
      <c r="B64" s="7" t="s">
        <v>256</v>
      </c>
      <c r="C64" s="17"/>
      <c r="D64" s="30"/>
      <c r="E64" s="30"/>
      <c r="F64" s="30"/>
      <c r="G64" s="30"/>
      <c r="H64" s="30"/>
    </row>
    <row r="65" spans="1:10" ht="20.25" customHeight="1" x14ac:dyDescent="0.25">
      <c r="A65" s="54">
        <v>18</v>
      </c>
      <c r="B65" s="7" t="s">
        <v>582</v>
      </c>
      <c r="C65" s="17">
        <v>9000</v>
      </c>
      <c r="D65" s="17">
        <v>9000</v>
      </c>
      <c r="E65" s="17">
        <v>20066</v>
      </c>
      <c r="F65" s="17">
        <v>20066</v>
      </c>
      <c r="G65" s="30"/>
      <c r="H65" s="30"/>
    </row>
    <row r="66" spans="1:10" ht="15.75" x14ac:dyDescent="0.25">
      <c r="A66" s="92" t="s">
        <v>7</v>
      </c>
      <c r="B66" s="12" t="s">
        <v>48</v>
      </c>
      <c r="C66" s="18">
        <v>1480000</v>
      </c>
      <c r="D66" s="30"/>
      <c r="E66" s="18">
        <v>1923290</v>
      </c>
      <c r="F66" s="30"/>
      <c r="G66" s="22">
        <f>E66/C66*100</f>
        <v>129.95202702702701</v>
      </c>
      <c r="H66" s="30"/>
    </row>
    <row r="67" spans="1:10" ht="15.75" x14ac:dyDescent="0.25">
      <c r="A67" s="92" t="s">
        <v>8</v>
      </c>
      <c r="B67" s="12" t="s">
        <v>145</v>
      </c>
      <c r="C67" s="18">
        <v>1000000</v>
      </c>
      <c r="D67" s="30"/>
      <c r="E67" s="18">
        <f>E68+E69+E70+E72+E73+E74</f>
        <v>1299505</v>
      </c>
      <c r="F67" s="30"/>
      <c r="G67" s="22">
        <f>E67/C67*100</f>
        <v>129.95049999999998</v>
      </c>
      <c r="H67" s="30"/>
    </row>
    <row r="68" spans="1:10" ht="15.75" x14ac:dyDescent="0.25">
      <c r="A68" s="54">
        <v>1</v>
      </c>
      <c r="B68" s="7" t="s">
        <v>96</v>
      </c>
      <c r="C68" s="17"/>
      <c r="D68" s="30"/>
      <c r="E68" s="17">
        <v>9020</v>
      </c>
      <c r="F68" s="30"/>
      <c r="G68" s="30"/>
      <c r="H68" s="30"/>
    </row>
    <row r="69" spans="1:10" ht="15.75" x14ac:dyDescent="0.25">
      <c r="A69" s="54">
        <v>2</v>
      </c>
      <c r="B69" s="7" t="s">
        <v>80</v>
      </c>
      <c r="C69" s="17">
        <v>19500</v>
      </c>
      <c r="D69" s="30"/>
      <c r="E69" s="31">
        <v>63312</v>
      </c>
      <c r="F69" s="30"/>
      <c r="G69" s="30"/>
      <c r="H69" s="30"/>
    </row>
    <row r="70" spans="1:10" ht="15.75" x14ac:dyDescent="0.25">
      <c r="A70" s="54">
        <v>3</v>
      </c>
      <c r="B70" s="7" t="s">
        <v>146</v>
      </c>
      <c r="C70" s="17"/>
      <c r="D70" s="30"/>
      <c r="E70" s="31">
        <v>415</v>
      </c>
      <c r="F70" s="30"/>
      <c r="G70" s="30"/>
      <c r="H70" s="30"/>
    </row>
    <row r="71" spans="1:10" ht="15.75" x14ac:dyDescent="0.25">
      <c r="A71" s="54">
        <v>4</v>
      </c>
      <c r="B71" s="7" t="s">
        <v>147</v>
      </c>
      <c r="C71" s="17"/>
      <c r="D71" s="30"/>
      <c r="E71" s="31"/>
      <c r="F71" s="30"/>
      <c r="G71" s="30"/>
      <c r="H71" s="30"/>
    </row>
    <row r="72" spans="1:10" ht="15.75" x14ac:dyDescent="0.25">
      <c r="A72" s="54">
        <v>5</v>
      </c>
      <c r="B72" s="7" t="s">
        <v>148</v>
      </c>
      <c r="C72" s="17">
        <v>980000</v>
      </c>
      <c r="D72" s="30"/>
      <c r="E72" s="31">
        <v>1199753</v>
      </c>
      <c r="F72" s="30"/>
      <c r="G72" s="30"/>
      <c r="H72" s="30"/>
      <c r="J72" s="23"/>
    </row>
    <row r="73" spans="1:10" ht="18" customHeight="1" x14ac:dyDescent="0.25">
      <c r="A73" s="54">
        <v>6</v>
      </c>
      <c r="B73" s="7" t="s">
        <v>198</v>
      </c>
      <c r="C73" s="17">
        <v>500</v>
      </c>
      <c r="D73" s="30"/>
      <c r="E73" s="31">
        <v>26895</v>
      </c>
      <c r="F73" s="30"/>
      <c r="G73" s="30"/>
      <c r="H73" s="30"/>
    </row>
    <row r="74" spans="1:10" ht="15.75" x14ac:dyDescent="0.25">
      <c r="A74" s="54">
        <v>7</v>
      </c>
      <c r="B74" s="7" t="s">
        <v>581</v>
      </c>
      <c r="C74" s="17"/>
      <c r="D74" s="30"/>
      <c r="E74" s="31">
        <v>110</v>
      </c>
      <c r="F74" s="30"/>
      <c r="G74" s="30"/>
      <c r="H74" s="30"/>
    </row>
    <row r="75" spans="1:10" ht="15.75" x14ac:dyDescent="0.25">
      <c r="A75" s="92" t="s">
        <v>9</v>
      </c>
      <c r="B75" s="12" t="s">
        <v>81</v>
      </c>
      <c r="C75" s="17"/>
      <c r="D75" s="30"/>
      <c r="E75" s="18">
        <v>3949</v>
      </c>
      <c r="F75" s="18">
        <v>3949</v>
      </c>
      <c r="G75" s="30"/>
      <c r="H75" s="30"/>
    </row>
    <row r="76" spans="1:10" ht="20.25" customHeight="1" x14ac:dyDescent="0.25">
      <c r="A76" s="92" t="s">
        <v>3</v>
      </c>
      <c r="B76" s="12" t="s">
        <v>199</v>
      </c>
      <c r="C76" s="17"/>
      <c r="D76" s="18">
        <v>40000</v>
      </c>
      <c r="E76" s="18">
        <v>11860</v>
      </c>
      <c r="F76" s="18">
        <v>11860</v>
      </c>
      <c r="G76" s="30"/>
      <c r="H76" s="30"/>
    </row>
    <row r="77" spans="1:10" ht="18" customHeight="1" x14ac:dyDescent="0.25">
      <c r="A77" s="92" t="s">
        <v>566</v>
      </c>
      <c r="B77" s="12" t="s">
        <v>567</v>
      </c>
      <c r="C77" s="17"/>
      <c r="D77" s="18">
        <v>3419061</v>
      </c>
      <c r="E77" s="18">
        <v>7287426</v>
      </c>
      <c r="F77" s="18">
        <v>7287426</v>
      </c>
      <c r="G77" s="30"/>
      <c r="H77" s="30"/>
    </row>
    <row r="78" spans="1:10" ht="18" customHeight="1" x14ac:dyDescent="0.25">
      <c r="A78" s="92" t="s">
        <v>13</v>
      </c>
      <c r="B78" s="12" t="s">
        <v>569</v>
      </c>
      <c r="C78" s="17"/>
      <c r="D78" s="18"/>
      <c r="E78" s="18">
        <v>18730</v>
      </c>
      <c r="F78" s="18">
        <v>17648</v>
      </c>
      <c r="G78" s="30"/>
      <c r="H78" s="30"/>
    </row>
    <row r="79" spans="1:10" ht="17.25" customHeight="1" x14ac:dyDescent="0.25">
      <c r="A79" s="92" t="s">
        <v>18</v>
      </c>
      <c r="B79" s="12" t="s">
        <v>149</v>
      </c>
      <c r="C79" s="17"/>
      <c r="D79" s="30"/>
      <c r="E79" s="18">
        <v>265294</v>
      </c>
      <c r="F79" s="18">
        <v>265294</v>
      </c>
      <c r="G79" s="30"/>
      <c r="H79" s="30"/>
    </row>
    <row r="80" spans="1:10" ht="21" customHeight="1" x14ac:dyDescent="0.25">
      <c r="A80" s="92" t="s">
        <v>568</v>
      </c>
      <c r="B80" s="66" t="s">
        <v>150</v>
      </c>
      <c r="C80" s="17"/>
      <c r="D80" s="30"/>
      <c r="E80" s="18">
        <v>2689155</v>
      </c>
      <c r="F80" s="18">
        <v>2689155</v>
      </c>
      <c r="G80" s="30"/>
      <c r="H80" s="30"/>
    </row>
    <row r="81" spans="1:8" ht="21" customHeight="1" x14ac:dyDescent="0.25">
      <c r="A81" s="3"/>
    </row>
    <row r="82" spans="1:8" ht="36.75" customHeight="1" x14ac:dyDescent="0.25">
      <c r="A82" s="172"/>
      <c r="B82" s="172"/>
      <c r="C82" s="172"/>
      <c r="D82" s="172"/>
      <c r="E82" s="172"/>
      <c r="F82" s="172"/>
      <c r="G82" s="172"/>
      <c r="H82" s="172"/>
    </row>
    <row r="83" spans="1:8" ht="36.75" customHeight="1" x14ac:dyDescent="0.25">
      <c r="A83" s="172"/>
      <c r="B83" s="172"/>
      <c r="C83" s="172"/>
      <c r="D83" s="172"/>
      <c r="E83" s="172"/>
      <c r="F83" s="172"/>
      <c r="G83" s="172"/>
      <c r="H83" s="172"/>
    </row>
    <row r="84" spans="1:8" ht="49.5" customHeight="1" x14ac:dyDescent="0.25">
      <c r="A84" s="172"/>
      <c r="B84" s="172"/>
      <c r="C84" s="172"/>
      <c r="D84" s="172"/>
      <c r="E84" s="172"/>
      <c r="F84" s="172"/>
      <c r="G84" s="172"/>
      <c r="H84" s="172"/>
    </row>
    <row r="85" spans="1:8" ht="49.5" customHeight="1" x14ac:dyDescent="0.25">
      <c r="A85" s="172"/>
      <c r="B85" s="172"/>
      <c r="C85" s="172"/>
      <c r="D85" s="172"/>
      <c r="E85" s="172"/>
      <c r="F85" s="172"/>
      <c r="G85" s="172"/>
      <c r="H85" s="172"/>
    </row>
    <row r="86" spans="1:8" ht="69.75" customHeight="1" x14ac:dyDescent="0.25">
      <c r="A86" s="172"/>
      <c r="B86" s="172"/>
      <c r="C86" s="172"/>
      <c r="D86" s="172"/>
      <c r="E86" s="172"/>
      <c r="F86" s="172"/>
      <c r="G86" s="172"/>
      <c r="H86" s="172"/>
    </row>
  </sheetData>
  <mergeCells count="12">
    <mergeCell ref="A84:H84"/>
    <mergeCell ref="A85:H85"/>
    <mergeCell ref="A86:H86"/>
    <mergeCell ref="A82:H82"/>
    <mergeCell ref="A83:H83"/>
    <mergeCell ref="A3:H3"/>
    <mergeCell ref="A4:H4"/>
    <mergeCell ref="A7:A8"/>
    <mergeCell ref="B7:B8"/>
    <mergeCell ref="C7:D7"/>
    <mergeCell ref="E7:F7"/>
    <mergeCell ref="G7:H7"/>
  </mergeCells>
  <pageMargins left="0.55000000000000004" right="0.16" top="0.48" bottom="0.75" header="0.59" footer="0.2"/>
  <pageSetup paperSize="9" orientation="landscape" verticalDpi="0"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93"/>
  <sheetViews>
    <sheetView workbookViewId="0">
      <selection activeCell="A4" sqref="A4:E4"/>
    </sheetView>
  </sheetViews>
  <sheetFormatPr defaultRowHeight="15" x14ac:dyDescent="0.25"/>
  <cols>
    <col min="1" max="1" width="5" customWidth="1"/>
    <col min="2" max="2" width="61.140625" customWidth="1"/>
    <col min="3" max="3" width="11.5703125" customWidth="1"/>
    <col min="4" max="4" width="11.28515625" customWidth="1"/>
    <col min="5" max="5" width="8.42578125" customWidth="1"/>
    <col min="7" max="7" width="10.140625" bestFit="1" customWidth="1"/>
  </cols>
  <sheetData>
    <row r="1" spans="1:5" ht="15.75" x14ac:dyDescent="0.25">
      <c r="E1" s="1" t="s">
        <v>645</v>
      </c>
    </row>
    <row r="2" spans="1:5" ht="15.75" x14ac:dyDescent="0.25">
      <c r="E2" s="1"/>
    </row>
    <row r="3" spans="1:5" ht="15.75" x14ac:dyDescent="0.25">
      <c r="A3" s="168" t="s">
        <v>575</v>
      </c>
      <c r="B3" s="168"/>
      <c r="C3" s="168"/>
      <c r="D3" s="168"/>
      <c r="E3" s="168"/>
    </row>
    <row r="4" spans="1:5" ht="15.75" x14ac:dyDescent="0.25">
      <c r="A4" s="169" t="s">
        <v>656</v>
      </c>
      <c r="B4" s="169"/>
      <c r="C4" s="169"/>
      <c r="D4" s="169"/>
      <c r="E4" s="169"/>
    </row>
    <row r="5" spans="1:5" ht="9.75" customHeight="1" x14ac:dyDescent="0.25">
      <c r="A5" s="63"/>
      <c r="B5" s="63"/>
      <c r="C5" s="63"/>
      <c r="D5" s="63"/>
      <c r="E5" s="63"/>
    </row>
    <row r="6" spans="1:5" ht="15.75" x14ac:dyDescent="0.25">
      <c r="E6" s="2" t="s">
        <v>5</v>
      </c>
    </row>
    <row r="7" spans="1:5" ht="49.5" customHeight="1" x14ac:dyDescent="0.25">
      <c r="A7" s="5" t="s">
        <v>0</v>
      </c>
      <c r="B7" s="5" t="s">
        <v>555</v>
      </c>
      <c r="C7" s="5" t="s">
        <v>124</v>
      </c>
      <c r="D7" s="5" t="s">
        <v>134</v>
      </c>
      <c r="E7" s="5" t="s">
        <v>68</v>
      </c>
    </row>
    <row r="8" spans="1:5" ht="17.25" customHeight="1" x14ac:dyDescent="0.25">
      <c r="A8" s="5" t="s">
        <v>2</v>
      </c>
      <c r="B8" s="5" t="s">
        <v>3</v>
      </c>
      <c r="C8" s="5">
        <v>1</v>
      </c>
      <c r="D8" s="5">
        <v>2</v>
      </c>
      <c r="E8" s="5" t="s">
        <v>44</v>
      </c>
    </row>
    <row r="9" spans="1:5" ht="18" customHeight="1" x14ac:dyDescent="0.25">
      <c r="A9" s="5"/>
      <c r="B9" s="6" t="s">
        <v>151</v>
      </c>
      <c r="C9" s="37">
        <f>C10+C29</f>
        <v>8983651</v>
      </c>
      <c r="D9" s="37">
        <f>D10+D29+D90+D91</f>
        <v>13007041</v>
      </c>
      <c r="E9" s="64">
        <f>D9/C9*100</f>
        <v>144.78568902554207</v>
      </c>
    </row>
    <row r="10" spans="1:5" ht="18" customHeight="1" x14ac:dyDescent="0.25">
      <c r="A10" s="5" t="s">
        <v>2</v>
      </c>
      <c r="B10" s="6" t="s">
        <v>152</v>
      </c>
      <c r="C10" s="37">
        <f>C11+C20+C25+C26+C27</f>
        <v>7734374</v>
      </c>
      <c r="D10" s="37">
        <f>D11+D20+D25+D26</f>
        <v>8060188</v>
      </c>
      <c r="E10" s="64">
        <f>D10/C10*100</f>
        <v>104.21254519111696</v>
      </c>
    </row>
    <row r="11" spans="1:5" ht="15.75" x14ac:dyDescent="0.25">
      <c r="A11" s="5" t="s">
        <v>11</v>
      </c>
      <c r="B11" s="6" t="s">
        <v>66</v>
      </c>
      <c r="C11" s="18">
        <v>1948180</v>
      </c>
      <c r="D11" s="37">
        <f>2869364+132762-593306</f>
        <v>2408820</v>
      </c>
      <c r="E11" s="64">
        <f>D11/C11*100</f>
        <v>123.64463242616186</v>
      </c>
    </row>
    <row r="12" spans="1:5" ht="15.75" hidden="1" x14ac:dyDescent="0.25">
      <c r="A12" s="4">
        <v>1</v>
      </c>
      <c r="B12" s="7" t="s">
        <v>153</v>
      </c>
      <c r="C12" s="36"/>
      <c r="D12" s="36"/>
      <c r="E12" s="36"/>
    </row>
    <row r="13" spans="1:5" ht="15.75" hidden="1" x14ac:dyDescent="0.25">
      <c r="A13" s="4"/>
      <c r="B13" s="8" t="s">
        <v>85</v>
      </c>
      <c r="C13" s="36"/>
      <c r="D13" s="36"/>
      <c r="E13" s="36"/>
    </row>
    <row r="14" spans="1:5" ht="15.75" hidden="1" x14ac:dyDescent="0.25">
      <c r="A14" s="4" t="s">
        <v>4</v>
      </c>
      <c r="B14" s="8" t="s">
        <v>86</v>
      </c>
      <c r="C14" s="36"/>
      <c r="D14" s="40">
        <v>520166</v>
      </c>
      <c r="E14" s="36"/>
    </row>
    <row r="15" spans="1:5" ht="15.75" hidden="1" x14ac:dyDescent="0.25">
      <c r="A15" s="4" t="s">
        <v>4</v>
      </c>
      <c r="B15" s="8" t="s">
        <v>122</v>
      </c>
      <c r="C15" s="36"/>
      <c r="D15" s="40">
        <v>8186</v>
      </c>
      <c r="E15" s="36"/>
    </row>
    <row r="16" spans="1:5" ht="15.75" hidden="1" x14ac:dyDescent="0.25">
      <c r="A16" s="4"/>
      <c r="B16" s="8" t="s">
        <v>88</v>
      </c>
      <c r="C16" s="36"/>
      <c r="D16" s="36"/>
      <c r="E16" s="36"/>
    </row>
    <row r="17" spans="1:7" ht="15.75" hidden="1" x14ac:dyDescent="0.25">
      <c r="A17" s="4" t="s">
        <v>4</v>
      </c>
      <c r="B17" s="8" t="s">
        <v>89</v>
      </c>
      <c r="C17" s="40">
        <v>210828</v>
      </c>
      <c r="D17" s="36"/>
      <c r="E17" s="36"/>
    </row>
    <row r="18" spans="1:7" ht="19.5" hidden="1" customHeight="1" x14ac:dyDescent="0.25">
      <c r="A18" s="4" t="s">
        <v>4</v>
      </c>
      <c r="B18" s="8" t="s">
        <v>105</v>
      </c>
      <c r="C18" s="40">
        <v>655000</v>
      </c>
      <c r="D18" s="36"/>
      <c r="E18" s="36"/>
    </row>
    <row r="19" spans="1:7" ht="47.25" hidden="1" x14ac:dyDescent="0.25">
      <c r="A19" s="4">
        <v>2</v>
      </c>
      <c r="B19" s="7" t="s">
        <v>90</v>
      </c>
      <c r="C19" s="36"/>
      <c r="D19" s="36"/>
      <c r="E19" s="36"/>
    </row>
    <row r="20" spans="1:7" ht="19.5" customHeight="1" x14ac:dyDescent="0.25">
      <c r="A20" s="5" t="s">
        <v>7</v>
      </c>
      <c r="B20" s="6" t="s">
        <v>15</v>
      </c>
      <c r="C20" s="37">
        <v>5634734</v>
      </c>
      <c r="D20" s="37">
        <f>6105007-455627</f>
        <v>5649380</v>
      </c>
      <c r="E20" s="64">
        <f>D20/C20*100</f>
        <v>100.25992353853795</v>
      </c>
    </row>
    <row r="21" spans="1:7" ht="15.75" x14ac:dyDescent="0.25">
      <c r="A21" s="4"/>
      <c r="B21" s="8" t="s">
        <v>26</v>
      </c>
      <c r="C21" s="36"/>
      <c r="D21" s="36"/>
      <c r="E21" s="36"/>
    </row>
    <row r="22" spans="1:7" ht="15.75" x14ac:dyDescent="0.25">
      <c r="A22" s="4">
        <v>1</v>
      </c>
      <c r="B22" s="8" t="s">
        <v>86</v>
      </c>
      <c r="C22" s="40">
        <v>2536853</v>
      </c>
      <c r="D22" s="40">
        <f>2518190-30573</f>
        <v>2487617</v>
      </c>
      <c r="E22" s="68">
        <f>D22/C22*100</f>
        <v>98.059170160825232</v>
      </c>
    </row>
    <row r="23" spans="1:7" ht="15.75" x14ac:dyDescent="0.25">
      <c r="A23" s="4">
        <v>2</v>
      </c>
      <c r="B23" s="8" t="s">
        <v>87</v>
      </c>
      <c r="C23" s="40">
        <v>19913</v>
      </c>
      <c r="D23" s="40">
        <v>11638</v>
      </c>
      <c r="E23" s="68">
        <f>D23/C23*100</f>
        <v>58.444232410987794</v>
      </c>
    </row>
    <row r="24" spans="1:7" ht="15.75" x14ac:dyDescent="0.25">
      <c r="A24" s="54">
        <v>3</v>
      </c>
      <c r="B24" s="8" t="s">
        <v>113</v>
      </c>
      <c r="C24" s="40">
        <v>96544</v>
      </c>
      <c r="D24" s="40">
        <f>95352+4250</f>
        <v>99602</v>
      </c>
      <c r="E24" s="68">
        <f>D24/C24*100</f>
        <v>103.16746768312895</v>
      </c>
    </row>
    <row r="25" spans="1:7" ht="15.75" x14ac:dyDescent="0.25">
      <c r="A25" s="5" t="s">
        <v>8</v>
      </c>
      <c r="B25" s="6" t="s">
        <v>16</v>
      </c>
      <c r="C25" s="102">
        <v>600</v>
      </c>
      <c r="D25" s="37">
        <v>988</v>
      </c>
      <c r="E25" s="137">
        <f>D25/C25*100</f>
        <v>164.66666666666669</v>
      </c>
      <c r="G25">
        <f>2869363+132762</f>
        <v>3002125</v>
      </c>
    </row>
    <row r="26" spans="1:7" ht="15.75" x14ac:dyDescent="0.25">
      <c r="A26" s="5" t="s">
        <v>9</v>
      </c>
      <c r="B26" s="6" t="s">
        <v>37</v>
      </c>
      <c r="C26" s="37">
        <v>1000</v>
      </c>
      <c r="D26" s="102">
        <v>1000</v>
      </c>
      <c r="E26" s="137">
        <f>D26/C26*100</f>
        <v>100</v>
      </c>
    </row>
    <row r="27" spans="1:7" ht="15.75" x14ac:dyDescent="0.25">
      <c r="A27" s="5" t="s">
        <v>23</v>
      </c>
      <c r="B27" s="6" t="s">
        <v>38</v>
      </c>
      <c r="C27" s="37">
        <v>149860</v>
      </c>
      <c r="D27" s="36"/>
      <c r="E27" s="36"/>
    </row>
    <row r="28" spans="1:7" ht="15.75" x14ac:dyDescent="0.25">
      <c r="A28" s="5" t="s">
        <v>92</v>
      </c>
      <c r="B28" s="6" t="s">
        <v>17</v>
      </c>
      <c r="C28" s="36"/>
      <c r="D28" s="36"/>
      <c r="E28" s="36"/>
    </row>
    <row r="29" spans="1:7" ht="15.75" x14ac:dyDescent="0.25">
      <c r="A29" s="5" t="s">
        <v>3</v>
      </c>
      <c r="B29" s="6" t="s">
        <v>93</v>
      </c>
      <c r="C29" s="37">
        <f>C30+C36</f>
        <v>1249277</v>
      </c>
      <c r="D29" s="37">
        <f>D30+D36</f>
        <v>1048933</v>
      </c>
      <c r="E29" s="64">
        <f>D29/C29*100</f>
        <v>83.963204317377176</v>
      </c>
    </row>
    <row r="30" spans="1:7" ht="15.75" x14ac:dyDescent="0.25">
      <c r="A30" s="5" t="s">
        <v>11</v>
      </c>
      <c r="B30" s="6" t="s">
        <v>40</v>
      </c>
      <c r="C30" s="37">
        <v>101917</v>
      </c>
      <c r="D30" s="37">
        <f>D31+D32+D33+D34+D35</f>
        <v>91777</v>
      </c>
      <c r="E30" s="64">
        <f>D30/C30*100</f>
        <v>90.050727552812589</v>
      </c>
    </row>
    <row r="31" spans="1:7" ht="18" customHeight="1" x14ac:dyDescent="0.25">
      <c r="A31" s="59">
        <v>1</v>
      </c>
      <c r="B31" s="53" t="s">
        <v>299</v>
      </c>
      <c r="C31" s="40">
        <v>22217</v>
      </c>
      <c r="D31" s="40">
        <v>22155</v>
      </c>
      <c r="E31" s="68">
        <f>D31/C31*100</f>
        <v>99.720934419588602</v>
      </c>
      <c r="F31" s="23"/>
    </row>
    <row r="32" spans="1:7" ht="15.75" x14ac:dyDescent="0.25">
      <c r="A32" s="59">
        <v>2</v>
      </c>
      <c r="B32" s="53" t="s">
        <v>300</v>
      </c>
      <c r="C32" s="40">
        <v>79700</v>
      </c>
      <c r="D32" s="40">
        <v>69099</v>
      </c>
      <c r="E32" s="68">
        <f>D32/C32*100</f>
        <v>86.698870765370145</v>
      </c>
    </row>
    <row r="33" spans="1:7" ht="17.25" customHeight="1" x14ac:dyDescent="0.25">
      <c r="A33" s="59">
        <v>3</v>
      </c>
      <c r="B33" s="53" t="s">
        <v>277</v>
      </c>
      <c r="C33" s="40"/>
      <c r="D33" s="40">
        <v>360</v>
      </c>
      <c r="E33" s="36"/>
    </row>
    <row r="34" spans="1:7" ht="18" customHeight="1" x14ac:dyDescent="0.25">
      <c r="A34" s="59">
        <v>4</v>
      </c>
      <c r="B34" s="53" t="s">
        <v>599</v>
      </c>
      <c r="C34" s="40"/>
      <c r="D34" s="40">
        <v>73</v>
      </c>
      <c r="E34" s="36"/>
    </row>
    <row r="35" spans="1:7" ht="15.75" x14ac:dyDescent="0.25">
      <c r="A35" s="59">
        <v>5</v>
      </c>
      <c r="B35" s="53" t="s">
        <v>301</v>
      </c>
      <c r="C35" s="40"/>
      <c r="D35" s="40">
        <v>90</v>
      </c>
      <c r="E35" s="36"/>
    </row>
    <row r="36" spans="1:7" ht="18.75" customHeight="1" x14ac:dyDescent="0.25">
      <c r="A36" s="5" t="s">
        <v>7</v>
      </c>
      <c r="B36" s="6" t="s">
        <v>123</v>
      </c>
      <c r="C36" s="37">
        <f>1249277-101917</f>
        <v>1147360</v>
      </c>
      <c r="D36" s="37">
        <f>SUM(D37:D89)</f>
        <v>957156</v>
      </c>
      <c r="E36" s="64">
        <f>D36/C36*100</f>
        <v>83.422465485985214</v>
      </c>
      <c r="G36" s="70"/>
    </row>
    <row r="37" spans="1:7" ht="23.25" customHeight="1" x14ac:dyDescent="0.25">
      <c r="A37" s="59">
        <v>1</v>
      </c>
      <c r="B37" s="61" t="s">
        <v>600</v>
      </c>
      <c r="C37" s="37"/>
      <c r="D37" s="17">
        <v>10813</v>
      </c>
      <c r="E37" s="64"/>
      <c r="G37" s="70"/>
    </row>
    <row r="38" spans="1:7" ht="18.75" customHeight="1" x14ac:dyDescent="0.25">
      <c r="A38" s="59">
        <v>2</v>
      </c>
      <c r="B38" s="58" t="s">
        <v>601</v>
      </c>
      <c r="C38" s="37"/>
      <c r="D38" s="17">
        <v>55554</v>
      </c>
      <c r="E38" s="64"/>
      <c r="G38" s="70"/>
    </row>
    <row r="39" spans="1:7" ht="18.75" customHeight="1" x14ac:dyDescent="0.25">
      <c r="A39" s="59">
        <v>3</v>
      </c>
      <c r="B39" s="58" t="s">
        <v>602</v>
      </c>
      <c r="C39" s="37"/>
      <c r="D39" s="17">
        <v>43191</v>
      </c>
      <c r="E39" s="64"/>
      <c r="G39" s="70"/>
    </row>
    <row r="40" spans="1:7" ht="18.75" customHeight="1" x14ac:dyDescent="0.25">
      <c r="A40" s="59">
        <v>4</v>
      </c>
      <c r="B40" s="58" t="s">
        <v>559</v>
      </c>
      <c r="C40" s="37"/>
      <c r="D40" s="17">
        <f>2500+45376</f>
        <v>47876</v>
      </c>
      <c r="E40" s="64"/>
      <c r="G40" s="70"/>
    </row>
    <row r="41" spans="1:7" ht="35.25" customHeight="1" x14ac:dyDescent="0.25">
      <c r="A41" s="59">
        <v>5</v>
      </c>
      <c r="B41" s="135" t="s">
        <v>278</v>
      </c>
      <c r="C41" s="37"/>
      <c r="D41" s="17">
        <v>45932</v>
      </c>
      <c r="E41" s="64"/>
      <c r="G41" s="70"/>
    </row>
    <row r="42" spans="1:7" ht="33" customHeight="1" x14ac:dyDescent="0.25">
      <c r="A42" s="59">
        <v>6</v>
      </c>
      <c r="B42" s="58" t="s">
        <v>603</v>
      </c>
      <c r="C42" s="37"/>
      <c r="D42" s="17">
        <v>97867</v>
      </c>
      <c r="E42" s="64"/>
      <c r="G42" s="70"/>
    </row>
    <row r="43" spans="1:7" ht="23.25" customHeight="1" x14ac:dyDescent="0.25">
      <c r="A43" s="59">
        <v>7</v>
      </c>
      <c r="B43" s="58" t="s">
        <v>632</v>
      </c>
      <c r="C43" s="37"/>
      <c r="D43" s="17">
        <v>15576</v>
      </c>
      <c r="E43" s="64"/>
      <c r="G43" s="70"/>
    </row>
    <row r="44" spans="1:7" ht="18" customHeight="1" x14ac:dyDescent="0.25">
      <c r="A44" s="59">
        <v>8</v>
      </c>
      <c r="B44" s="58" t="s">
        <v>280</v>
      </c>
      <c r="C44" s="37"/>
      <c r="D44" s="17">
        <v>126801</v>
      </c>
      <c r="E44" s="64"/>
      <c r="G44" s="70"/>
    </row>
    <row r="45" spans="1:7" ht="51.75" customHeight="1" x14ac:dyDescent="0.25">
      <c r="A45" s="59">
        <v>9</v>
      </c>
      <c r="B45" s="58" t="s">
        <v>281</v>
      </c>
      <c r="C45" s="37"/>
      <c r="D45" s="17">
        <v>791</v>
      </c>
      <c r="E45" s="64"/>
      <c r="G45" s="70"/>
    </row>
    <row r="46" spans="1:7" ht="18.75" customHeight="1" x14ac:dyDescent="0.25">
      <c r="A46" s="59">
        <v>10</v>
      </c>
      <c r="B46" s="58" t="s">
        <v>604</v>
      </c>
      <c r="C46" s="37"/>
      <c r="D46" s="17">
        <v>300</v>
      </c>
      <c r="E46" s="64"/>
      <c r="G46" s="70"/>
    </row>
    <row r="47" spans="1:7" ht="18.75" customHeight="1" x14ac:dyDescent="0.25">
      <c r="A47" s="59">
        <v>11</v>
      </c>
      <c r="B47" s="58" t="s">
        <v>605</v>
      </c>
      <c r="C47" s="37"/>
      <c r="D47" s="17">
        <v>680</v>
      </c>
      <c r="E47" s="64"/>
      <c r="G47" s="70"/>
    </row>
    <row r="48" spans="1:7" ht="18.75" customHeight="1" x14ac:dyDescent="0.25">
      <c r="A48" s="59">
        <v>12</v>
      </c>
      <c r="B48" s="61" t="s">
        <v>606</v>
      </c>
      <c r="C48" s="37"/>
      <c r="D48" s="17">
        <v>82</v>
      </c>
      <c r="E48" s="64"/>
      <c r="G48" s="70"/>
    </row>
    <row r="49" spans="1:7" ht="54" customHeight="1" x14ac:dyDescent="0.25">
      <c r="A49" s="59">
        <v>13</v>
      </c>
      <c r="B49" s="58" t="s">
        <v>607</v>
      </c>
      <c r="C49" s="37"/>
      <c r="D49" s="17">
        <v>909</v>
      </c>
      <c r="E49" s="64"/>
      <c r="G49" s="70"/>
    </row>
    <row r="50" spans="1:7" ht="53.25" customHeight="1" x14ac:dyDescent="0.25">
      <c r="A50" s="59">
        <v>14</v>
      </c>
      <c r="B50" s="58" t="s">
        <v>608</v>
      </c>
      <c r="C50" s="37"/>
      <c r="D50" s="17">
        <v>105</v>
      </c>
      <c r="E50" s="64"/>
      <c r="G50" s="70"/>
    </row>
    <row r="51" spans="1:7" ht="18.75" customHeight="1" x14ac:dyDescent="0.25">
      <c r="A51" s="59">
        <v>15</v>
      </c>
      <c r="B51" s="58" t="s">
        <v>609</v>
      </c>
      <c r="C51" s="37"/>
      <c r="D51" s="17">
        <v>5408</v>
      </c>
      <c r="E51" s="64"/>
      <c r="G51" s="70"/>
    </row>
    <row r="52" spans="1:7" ht="18.75" customHeight="1" x14ac:dyDescent="0.25">
      <c r="A52" s="59">
        <v>16</v>
      </c>
      <c r="B52" s="60" t="s">
        <v>610</v>
      </c>
      <c r="C52" s="37"/>
      <c r="D52" s="17">
        <v>21337</v>
      </c>
      <c r="E52" s="64"/>
      <c r="G52" s="70"/>
    </row>
    <row r="53" spans="1:7" ht="18.75" customHeight="1" x14ac:dyDescent="0.25">
      <c r="A53" s="59">
        <v>17</v>
      </c>
      <c r="B53" s="58" t="s">
        <v>611</v>
      </c>
      <c r="C53" s="37"/>
      <c r="D53" s="17">
        <v>247876</v>
      </c>
      <c r="E53" s="64"/>
      <c r="G53" s="70"/>
    </row>
    <row r="54" spans="1:7" ht="49.5" customHeight="1" x14ac:dyDescent="0.25">
      <c r="A54" s="59">
        <v>18</v>
      </c>
      <c r="B54" s="58" t="s">
        <v>612</v>
      </c>
      <c r="C54" s="37"/>
      <c r="D54" s="17">
        <v>2082</v>
      </c>
      <c r="E54" s="64"/>
      <c r="G54" s="70"/>
    </row>
    <row r="55" spans="1:7" ht="33" customHeight="1" x14ac:dyDescent="0.25">
      <c r="A55" s="59">
        <v>19</v>
      </c>
      <c r="B55" s="58" t="s">
        <v>279</v>
      </c>
      <c r="C55" s="37"/>
      <c r="D55" s="17">
        <v>9278</v>
      </c>
      <c r="E55" s="64"/>
      <c r="G55" s="70"/>
    </row>
    <row r="56" spans="1:7" ht="24" customHeight="1" x14ac:dyDescent="0.25">
      <c r="A56" s="59">
        <v>20</v>
      </c>
      <c r="B56" s="58" t="s">
        <v>613</v>
      </c>
      <c r="C56" s="37"/>
      <c r="D56" s="17">
        <v>1459</v>
      </c>
      <c r="E56" s="64"/>
      <c r="G56" s="70"/>
    </row>
    <row r="57" spans="1:7" ht="18.75" customHeight="1" x14ac:dyDescent="0.25">
      <c r="A57" s="59">
        <v>21</v>
      </c>
      <c r="B57" s="58" t="s">
        <v>636</v>
      </c>
      <c r="C57" s="37"/>
      <c r="D57" s="17">
        <f>26+4714+3008</f>
        <v>7748</v>
      </c>
      <c r="E57" s="64"/>
      <c r="G57" s="70"/>
    </row>
    <row r="58" spans="1:7" ht="18.75" customHeight="1" x14ac:dyDescent="0.25">
      <c r="A58" s="59">
        <v>22</v>
      </c>
      <c r="B58" s="58" t="s">
        <v>614</v>
      </c>
      <c r="C58" s="37"/>
      <c r="D58" s="17">
        <v>4760</v>
      </c>
      <c r="E58" s="64"/>
      <c r="G58" s="70"/>
    </row>
    <row r="59" spans="1:7" ht="18.75" customHeight="1" x14ac:dyDescent="0.25">
      <c r="A59" s="59">
        <v>23</v>
      </c>
      <c r="B59" s="58" t="s">
        <v>615</v>
      </c>
      <c r="C59" s="37"/>
      <c r="D59" s="17">
        <v>33</v>
      </c>
      <c r="E59" s="64"/>
      <c r="G59" s="70"/>
    </row>
    <row r="60" spans="1:7" ht="18.75" customHeight="1" x14ac:dyDescent="0.25">
      <c r="A60" s="59">
        <v>24</v>
      </c>
      <c r="B60" s="58" t="s">
        <v>616</v>
      </c>
      <c r="C60" s="37"/>
      <c r="D60" s="17">
        <v>827</v>
      </c>
      <c r="E60" s="64"/>
      <c r="G60" s="70"/>
    </row>
    <row r="61" spans="1:7" ht="35.25" customHeight="1" x14ac:dyDescent="0.25">
      <c r="A61" s="59">
        <v>25</v>
      </c>
      <c r="B61" s="58" t="s">
        <v>617</v>
      </c>
      <c r="C61" s="37"/>
      <c r="D61" s="17">
        <v>4250</v>
      </c>
      <c r="E61" s="64"/>
      <c r="G61" s="70"/>
    </row>
    <row r="62" spans="1:7" ht="47.25" customHeight="1" x14ac:dyDescent="0.25">
      <c r="A62" s="59">
        <v>26</v>
      </c>
      <c r="B62" s="58" t="s">
        <v>618</v>
      </c>
      <c r="C62" s="37"/>
      <c r="D62" s="17">
        <v>19817</v>
      </c>
      <c r="E62" s="64"/>
      <c r="G62" s="70"/>
    </row>
    <row r="63" spans="1:7" ht="52.5" customHeight="1" x14ac:dyDescent="0.25">
      <c r="A63" s="59">
        <v>27</v>
      </c>
      <c r="B63" s="58" t="s">
        <v>619</v>
      </c>
      <c r="C63" s="37"/>
      <c r="D63" s="17">
        <v>8978</v>
      </c>
      <c r="E63" s="64"/>
      <c r="G63" s="70"/>
    </row>
    <row r="64" spans="1:7" ht="51.75" customHeight="1" x14ac:dyDescent="0.25">
      <c r="A64" s="59">
        <v>28</v>
      </c>
      <c r="B64" s="58" t="s">
        <v>620</v>
      </c>
      <c r="C64" s="37"/>
      <c r="D64" s="17">
        <v>564</v>
      </c>
      <c r="E64" s="64"/>
      <c r="G64" s="70"/>
    </row>
    <row r="65" spans="1:7" ht="24" customHeight="1" x14ac:dyDescent="0.25">
      <c r="A65" s="59">
        <v>29</v>
      </c>
      <c r="B65" s="60" t="s">
        <v>634</v>
      </c>
      <c r="C65" s="37"/>
      <c r="D65" s="17">
        <v>14812</v>
      </c>
      <c r="E65" s="64"/>
      <c r="G65" s="70"/>
    </row>
    <row r="66" spans="1:7" ht="18.75" customHeight="1" x14ac:dyDescent="0.25">
      <c r="A66" s="59">
        <v>30</v>
      </c>
      <c r="B66" s="58" t="s">
        <v>289</v>
      </c>
      <c r="C66" s="37"/>
      <c r="D66" s="17">
        <v>344</v>
      </c>
      <c r="E66" s="64"/>
      <c r="G66" s="70"/>
    </row>
    <row r="67" spans="1:7" ht="33.75" customHeight="1" x14ac:dyDescent="0.25">
      <c r="A67" s="59">
        <v>31</v>
      </c>
      <c r="B67" s="58" t="s">
        <v>621</v>
      </c>
      <c r="C67" s="37"/>
      <c r="D67" s="17">
        <v>14957</v>
      </c>
      <c r="E67" s="64"/>
      <c r="G67" s="70"/>
    </row>
    <row r="68" spans="1:7" ht="18.75" customHeight="1" x14ac:dyDescent="0.25">
      <c r="A68" s="59">
        <v>32</v>
      </c>
      <c r="B68" s="58" t="s">
        <v>622</v>
      </c>
      <c r="C68" s="37"/>
      <c r="D68" s="17">
        <v>234</v>
      </c>
      <c r="E68" s="64"/>
      <c r="G68" s="70"/>
    </row>
    <row r="69" spans="1:7" ht="22.5" customHeight="1" x14ac:dyDescent="0.25">
      <c r="A69" s="59">
        <v>33</v>
      </c>
      <c r="B69" s="58" t="s">
        <v>623</v>
      </c>
      <c r="C69" s="37"/>
      <c r="D69" s="17">
        <v>11945</v>
      </c>
      <c r="E69" s="64"/>
      <c r="G69" s="70"/>
    </row>
    <row r="70" spans="1:7" ht="39" customHeight="1" x14ac:dyDescent="0.25">
      <c r="A70" s="59">
        <v>34</v>
      </c>
      <c r="B70" s="58" t="s">
        <v>624</v>
      </c>
      <c r="C70" s="37"/>
      <c r="D70" s="17">
        <v>9320</v>
      </c>
      <c r="E70" s="64"/>
      <c r="G70" s="70"/>
    </row>
    <row r="71" spans="1:7" ht="36.75" customHeight="1" x14ac:dyDescent="0.25">
      <c r="A71" s="59">
        <v>35</v>
      </c>
      <c r="B71" s="58" t="s">
        <v>291</v>
      </c>
      <c r="C71" s="37"/>
      <c r="D71" s="17">
        <v>23</v>
      </c>
      <c r="E71" s="64"/>
      <c r="G71" s="70"/>
    </row>
    <row r="72" spans="1:7" ht="32.25" customHeight="1" x14ac:dyDescent="0.25">
      <c r="A72" s="59">
        <v>36</v>
      </c>
      <c r="B72" s="58" t="s">
        <v>625</v>
      </c>
      <c r="C72" s="37"/>
      <c r="D72" s="17">
        <v>206</v>
      </c>
      <c r="E72" s="64"/>
      <c r="G72" s="70"/>
    </row>
    <row r="73" spans="1:7" ht="36.75" customHeight="1" x14ac:dyDescent="0.25">
      <c r="A73" s="59">
        <v>37</v>
      </c>
      <c r="B73" s="58" t="s">
        <v>626</v>
      </c>
      <c r="C73" s="37"/>
      <c r="D73" s="17">
        <v>36</v>
      </c>
      <c r="E73" s="64"/>
      <c r="G73" s="70"/>
    </row>
    <row r="74" spans="1:7" ht="51.75" customHeight="1" x14ac:dyDescent="0.25">
      <c r="A74" s="59">
        <v>38</v>
      </c>
      <c r="B74" s="58" t="s">
        <v>290</v>
      </c>
      <c r="C74" s="37"/>
      <c r="D74" s="17">
        <f>722+2473</f>
        <v>3195</v>
      </c>
      <c r="E74" s="64"/>
      <c r="G74" s="70"/>
    </row>
    <row r="75" spans="1:7" ht="18.75" customHeight="1" x14ac:dyDescent="0.25">
      <c r="A75" s="59">
        <v>39</v>
      </c>
      <c r="B75" s="58" t="s">
        <v>627</v>
      </c>
      <c r="C75" s="37"/>
      <c r="D75" s="17">
        <v>76</v>
      </c>
      <c r="E75" s="64"/>
      <c r="G75" s="70"/>
    </row>
    <row r="76" spans="1:7" ht="21" customHeight="1" x14ac:dyDescent="0.25">
      <c r="A76" s="59">
        <v>40</v>
      </c>
      <c r="B76" s="58" t="s">
        <v>628</v>
      </c>
      <c r="C76" s="37"/>
      <c r="D76" s="17">
        <v>12</v>
      </c>
      <c r="E76" s="64"/>
      <c r="G76" s="70"/>
    </row>
    <row r="77" spans="1:7" ht="24" customHeight="1" x14ac:dyDescent="0.25">
      <c r="A77" s="59">
        <v>41</v>
      </c>
      <c r="B77" s="58" t="s">
        <v>635</v>
      </c>
      <c r="C77" s="37"/>
      <c r="D77" s="17">
        <v>42</v>
      </c>
      <c r="E77" s="64"/>
      <c r="G77" s="70"/>
    </row>
    <row r="78" spans="1:7" ht="20.25" customHeight="1" x14ac:dyDescent="0.25">
      <c r="A78" s="59">
        <v>42</v>
      </c>
      <c r="B78" s="58" t="s">
        <v>629</v>
      </c>
      <c r="C78" s="37"/>
      <c r="D78" s="17">
        <v>4521</v>
      </c>
      <c r="E78" s="64"/>
      <c r="G78" s="70"/>
    </row>
    <row r="79" spans="1:7" ht="22.5" customHeight="1" x14ac:dyDescent="0.25">
      <c r="A79" s="59">
        <v>43</v>
      </c>
      <c r="B79" s="58" t="s">
        <v>283</v>
      </c>
      <c r="C79" s="37"/>
      <c r="D79" s="17">
        <v>1000</v>
      </c>
      <c r="E79" s="64"/>
      <c r="G79" s="70"/>
    </row>
    <row r="80" spans="1:7" ht="22.5" customHeight="1" x14ac:dyDescent="0.25">
      <c r="A80" s="59">
        <v>44</v>
      </c>
      <c r="B80" s="61" t="s">
        <v>282</v>
      </c>
      <c r="C80" s="37"/>
      <c r="D80" s="17">
        <v>6950</v>
      </c>
      <c r="E80" s="64"/>
      <c r="G80" s="70"/>
    </row>
    <row r="81" spans="1:7" ht="20.25" customHeight="1" x14ac:dyDescent="0.25">
      <c r="A81" s="59">
        <v>45</v>
      </c>
      <c r="B81" s="58" t="s">
        <v>284</v>
      </c>
      <c r="C81" s="37"/>
      <c r="D81" s="17">
        <v>9860</v>
      </c>
      <c r="E81" s="64"/>
      <c r="G81" s="70"/>
    </row>
    <row r="82" spans="1:7" ht="23.25" customHeight="1" x14ac:dyDescent="0.25">
      <c r="A82" s="59">
        <v>46</v>
      </c>
      <c r="B82" s="58" t="s">
        <v>285</v>
      </c>
      <c r="C82" s="37"/>
      <c r="D82" s="17">
        <v>127</v>
      </c>
      <c r="E82" s="64"/>
      <c r="G82" s="70"/>
    </row>
    <row r="83" spans="1:7" ht="23.25" customHeight="1" x14ac:dyDescent="0.25">
      <c r="A83" s="59">
        <v>47</v>
      </c>
      <c r="B83" s="58" t="s">
        <v>286</v>
      </c>
      <c r="C83" s="37"/>
      <c r="D83" s="17">
        <v>2195</v>
      </c>
      <c r="E83" s="64"/>
      <c r="G83" s="70"/>
    </row>
    <row r="84" spans="1:7" ht="22.5" customHeight="1" x14ac:dyDescent="0.25">
      <c r="A84" s="59">
        <v>48</v>
      </c>
      <c r="B84" s="58" t="s">
        <v>630</v>
      </c>
      <c r="C84" s="37"/>
      <c r="D84" s="17">
        <v>1965</v>
      </c>
      <c r="E84" s="64"/>
      <c r="G84" s="70"/>
    </row>
    <row r="85" spans="1:7" ht="18.75" customHeight="1" x14ac:dyDescent="0.25">
      <c r="A85" s="59">
        <v>49</v>
      </c>
      <c r="B85" s="58" t="s">
        <v>633</v>
      </c>
      <c r="C85" s="37"/>
      <c r="D85" s="17">
        <v>3126</v>
      </c>
      <c r="E85" s="64"/>
      <c r="G85" s="70"/>
    </row>
    <row r="86" spans="1:7" ht="20.25" customHeight="1" x14ac:dyDescent="0.25">
      <c r="A86" s="59">
        <v>50</v>
      </c>
      <c r="B86" s="58" t="s">
        <v>631</v>
      </c>
      <c r="C86" s="37"/>
      <c r="D86" s="17">
        <v>932</v>
      </c>
      <c r="E86" s="64"/>
      <c r="G86" s="70"/>
    </row>
    <row r="87" spans="1:7" ht="21" customHeight="1" x14ac:dyDescent="0.25">
      <c r="A87" s="59">
        <v>51</v>
      </c>
      <c r="B87" s="58" t="s">
        <v>288</v>
      </c>
      <c r="C87" s="37"/>
      <c r="D87" s="17">
        <v>1925</v>
      </c>
      <c r="E87" s="64"/>
      <c r="G87" s="70"/>
    </row>
    <row r="88" spans="1:7" ht="20.25" customHeight="1" x14ac:dyDescent="0.25">
      <c r="A88" s="59">
        <v>52</v>
      </c>
      <c r="B88" s="58" t="s">
        <v>287</v>
      </c>
      <c r="C88" s="37"/>
      <c r="D88" s="17">
        <v>2200</v>
      </c>
      <c r="E88" s="64"/>
      <c r="G88" s="70"/>
    </row>
    <row r="89" spans="1:7" ht="24" customHeight="1" x14ac:dyDescent="0.25">
      <c r="A89" s="59">
        <v>53</v>
      </c>
      <c r="B89" s="58" t="s">
        <v>292</v>
      </c>
      <c r="C89" s="37"/>
      <c r="D89" s="17">
        <v>86259</v>
      </c>
      <c r="E89" s="64"/>
      <c r="G89" s="70"/>
    </row>
    <row r="90" spans="1:7" ht="22.5" customHeight="1" x14ac:dyDescent="0.25">
      <c r="A90" s="5" t="s">
        <v>10</v>
      </c>
      <c r="B90" s="6" t="s">
        <v>97</v>
      </c>
      <c r="C90" s="36"/>
      <c r="D90" s="37">
        <v>3879190</v>
      </c>
      <c r="E90" s="36"/>
    </row>
    <row r="91" spans="1:7" ht="23.25" customHeight="1" x14ac:dyDescent="0.25">
      <c r="A91" s="29" t="s">
        <v>13</v>
      </c>
      <c r="B91" s="12" t="s">
        <v>257</v>
      </c>
      <c r="C91" s="36"/>
      <c r="D91" s="37">
        <v>18730</v>
      </c>
      <c r="E91" s="36"/>
    </row>
    <row r="92" spans="1:7" ht="60" customHeight="1" x14ac:dyDescent="0.25">
      <c r="A92" s="175"/>
      <c r="B92" s="175"/>
      <c r="C92" s="175"/>
      <c r="D92" s="175"/>
      <c r="E92" s="175"/>
    </row>
    <row r="93" spans="1:7" ht="15.75" x14ac:dyDescent="0.25">
      <c r="B93" s="52"/>
    </row>
  </sheetData>
  <mergeCells count="3">
    <mergeCell ref="A92:E92"/>
    <mergeCell ref="A3:E3"/>
    <mergeCell ref="A4:E4"/>
  </mergeCells>
  <pageMargins left="0.36" right="0.2" top="0.41" bottom="0.44" header="0.19" footer="0.24"/>
  <pageSetup paperSize="9" orientation="portrait" verticalDpi="0" r:id="rId1"/>
  <headerFooter>
    <oddFooter>&amp;R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5"/>
  <sheetViews>
    <sheetView workbookViewId="0">
      <selection activeCell="A4" sqref="A4:F4"/>
    </sheetView>
  </sheetViews>
  <sheetFormatPr defaultRowHeight="15" x14ac:dyDescent="0.25"/>
  <cols>
    <col min="1" max="1" width="5.28515625" customWidth="1"/>
    <col min="2" max="2" width="43" customWidth="1"/>
    <col min="3" max="3" width="11.85546875" customWidth="1"/>
    <col min="4" max="4" width="12.140625" customWidth="1"/>
    <col min="5" max="5" width="11.5703125" customWidth="1"/>
    <col min="6" max="6" width="12.140625" customWidth="1"/>
  </cols>
  <sheetData>
    <row r="1" spans="1:7" ht="15.75" x14ac:dyDescent="0.25">
      <c r="F1" s="1" t="s">
        <v>646</v>
      </c>
    </row>
    <row r="2" spans="1:7" ht="15.75" x14ac:dyDescent="0.25">
      <c r="F2" s="1"/>
    </row>
    <row r="3" spans="1:7" ht="15.75" customHeight="1" x14ac:dyDescent="0.25">
      <c r="A3" s="168" t="s">
        <v>586</v>
      </c>
      <c r="B3" s="168"/>
      <c r="C3" s="168"/>
      <c r="D3" s="168"/>
      <c r="E3" s="168"/>
      <c r="F3" s="168"/>
    </row>
    <row r="4" spans="1:7" ht="15.75" x14ac:dyDescent="0.25">
      <c r="A4" s="173" t="s">
        <v>657</v>
      </c>
      <c r="B4" s="173"/>
      <c r="C4" s="173"/>
      <c r="D4" s="173"/>
      <c r="E4" s="173"/>
      <c r="F4" s="173"/>
    </row>
    <row r="5" spans="1:7" ht="15.75" x14ac:dyDescent="0.25">
      <c r="A5" s="144"/>
      <c r="B5" s="144"/>
      <c r="C5" s="144"/>
      <c r="D5" s="144"/>
      <c r="E5" s="144"/>
      <c r="F5" s="144"/>
    </row>
    <row r="6" spans="1:7" ht="15.75" x14ac:dyDescent="0.25">
      <c r="F6" s="2" t="s">
        <v>5</v>
      </c>
    </row>
    <row r="7" spans="1:7" ht="15.75" x14ac:dyDescent="0.25">
      <c r="A7" s="171" t="s">
        <v>0</v>
      </c>
      <c r="B7" s="171" t="s">
        <v>1</v>
      </c>
      <c r="C7" s="171" t="s">
        <v>124</v>
      </c>
      <c r="D7" s="171" t="s">
        <v>134</v>
      </c>
      <c r="E7" s="171" t="s">
        <v>31</v>
      </c>
      <c r="F7" s="171"/>
    </row>
    <row r="8" spans="1:7" ht="31.5" x14ac:dyDescent="0.25">
      <c r="A8" s="171"/>
      <c r="B8" s="171"/>
      <c r="C8" s="171"/>
      <c r="D8" s="171"/>
      <c r="E8" s="71" t="s">
        <v>32</v>
      </c>
      <c r="F8" s="71" t="s">
        <v>82</v>
      </c>
    </row>
    <row r="9" spans="1:7" ht="17.25" customHeight="1" x14ac:dyDescent="0.25">
      <c r="A9" s="5" t="s">
        <v>2</v>
      </c>
      <c r="B9" s="5" t="s">
        <v>3</v>
      </c>
      <c r="C9" s="5">
        <v>1</v>
      </c>
      <c r="D9" s="5">
        <v>2</v>
      </c>
      <c r="E9" s="5" t="s">
        <v>61</v>
      </c>
      <c r="F9" s="5" t="s">
        <v>62</v>
      </c>
    </row>
    <row r="10" spans="1:7" ht="23.25" customHeight="1" x14ac:dyDescent="0.25">
      <c r="A10" s="5"/>
      <c r="B10" s="6" t="s">
        <v>14</v>
      </c>
      <c r="C10" s="18">
        <f>C11+C12</f>
        <v>7896906</v>
      </c>
      <c r="D10" s="18">
        <f>D11+D12+D50+D51</f>
        <v>10637957</v>
      </c>
      <c r="E10" s="18">
        <f>D10-C10</f>
        <v>2741051</v>
      </c>
      <c r="F10" s="22">
        <f>D10/C10*100</f>
        <v>134.71044229220911</v>
      </c>
      <c r="G10" s="23"/>
    </row>
    <row r="11" spans="1:7" ht="36" customHeight="1" x14ac:dyDescent="0.25">
      <c r="A11" s="5" t="s">
        <v>2</v>
      </c>
      <c r="B11" s="6" t="s">
        <v>262</v>
      </c>
      <c r="C11" s="18">
        <v>2458642</v>
      </c>
      <c r="D11" s="18">
        <v>2933208</v>
      </c>
      <c r="E11" s="18">
        <f t="shared" ref="E11" si="0">D11-C11</f>
        <v>474566</v>
      </c>
      <c r="F11" s="22">
        <f>D11/C11*100</f>
        <v>119.30195612049252</v>
      </c>
      <c r="G11" s="23"/>
    </row>
    <row r="12" spans="1:7" ht="32.25" customHeight="1" x14ac:dyDescent="0.25">
      <c r="A12" s="5" t="s">
        <v>3</v>
      </c>
      <c r="B12" s="6" t="s">
        <v>263</v>
      </c>
      <c r="C12" s="18">
        <f>C13+C30+C44+C45+C46+C47</f>
        <v>5438264</v>
      </c>
      <c r="D12" s="18">
        <f>D13+D30+D44+D45+D46+D47</f>
        <v>4746200</v>
      </c>
      <c r="E12" s="18">
        <f>E13+E30+E44+E45+E46+E47</f>
        <v>-692064</v>
      </c>
      <c r="F12" s="22">
        <f>D12/C12*100</f>
        <v>87.274174258550147</v>
      </c>
      <c r="G12" s="23"/>
    </row>
    <row r="13" spans="1:7" ht="20.25" customHeight="1" x14ac:dyDescent="0.25">
      <c r="A13" s="5" t="s">
        <v>11</v>
      </c>
      <c r="B13" s="6" t="s">
        <v>106</v>
      </c>
      <c r="C13" s="18">
        <v>1756180</v>
      </c>
      <c r="D13" s="18">
        <f>2090210+132762-513044</f>
        <v>1709928</v>
      </c>
      <c r="E13" s="18">
        <f>D13-C13</f>
        <v>-46252</v>
      </c>
      <c r="F13" s="22">
        <f>D13/C13*100</f>
        <v>97.3663291917685</v>
      </c>
    </row>
    <row r="14" spans="1:7" ht="15.75" hidden="1" x14ac:dyDescent="0.25">
      <c r="A14" s="4">
        <v>1</v>
      </c>
      <c r="B14" s="7" t="s">
        <v>84</v>
      </c>
      <c r="C14" s="17"/>
      <c r="D14" s="30"/>
      <c r="E14" s="30"/>
      <c r="F14" s="30"/>
    </row>
    <row r="15" spans="1:7" ht="15.75" hidden="1" x14ac:dyDescent="0.25">
      <c r="A15" s="4" t="s">
        <v>4</v>
      </c>
      <c r="B15" s="7" t="s">
        <v>86</v>
      </c>
      <c r="C15" s="30"/>
      <c r="D15" s="30"/>
      <c r="E15" s="30"/>
      <c r="F15" s="30"/>
    </row>
    <row r="16" spans="1:7" ht="15.75" hidden="1" x14ac:dyDescent="0.25">
      <c r="A16" s="4" t="s">
        <v>4</v>
      </c>
      <c r="B16" s="7" t="s">
        <v>87</v>
      </c>
      <c r="C16" s="30"/>
      <c r="D16" s="30"/>
      <c r="E16" s="30"/>
      <c r="F16" s="30"/>
    </row>
    <row r="17" spans="1:7" ht="15.75" hidden="1" x14ac:dyDescent="0.25">
      <c r="A17" s="4" t="s">
        <v>4</v>
      </c>
      <c r="B17" s="7" t="s">
        <v>107</v>
      </c>
      <c r="C17" s="30"/>
      <c r="D17" s="30"/>
      <c r="E17" s="30"/>
      <c r="F17" s="30"/>
    </row>
    <row r="18" spans="1:7" ht="15.75" hidden="1" x14ac:dyDescent="0.25">
      <c r="A18" s="4" t="s">
        <v>4</v>
      </c>
      <c r="B18" s="7" t="s">
        <v>108</v>
      </c>
      <c r="C18" s="30"/>
      <c r="D18" s="30"/>
      <c r="E18" s="30"/>
      <c r="F18" s="30"/>
    </row>
    <row r="19" spans="1:7" ht="15.75" hidden="1" x14ac:dyDescent="0.25">
      <c r="A19" s="4" t="s">
        <v>4</v>
      </c>
      <c r="B19" s="7" t="s">
        <v>109</v>
      </c>
      <c r="C19" s="30"/>
      <c r="D19" s="30"/>
      <c r="E19" s="30"/>
      <c r="F19" s="30"/>
    </row>
    <row r="20" spans="1:7" ht="15.75" hidden="1" x14ac:dyDescent="0.25">
      <c r="A20" s="4" t="s">
        <v>4</v>
      </c>
      <c r="B20" s="7" t="s">
        <v>110</v>
      </c>
      <c r="C20" s="30"/>
      <c r="D20" s="30"/>
      <c r="E20" s="30"/>
      <c r="F20" s="30"/>
    </row>
    <row r="21" spans="1:7" ht="15.75" hidden="1" x14ac:dyDescent="0.25">
      <c r="A21" s="4" t="s">
        <v>4</v>
      </c>
      <c r="B21" s="7" t="s">
        <v>111</v>
      </c>
      <c r="C21" s="30"/>
      <c r="D21" s="30"/>
      <c r="E21" s="30"/>
      <c r="F21" s="30"/>
    </row>
    <row r="22" spans="1:7" ht="15.75" hidden="1" x14ac:dyDescent="0.25">
      <c r="A22" s="4" t="s">
        <v>4</v>
      </c>
      <c r="B22" s="7" t="s">
        <v>112</v>
      </c>
      <c r="C22" s="30"/>
      <c r="D22" s="30"/>
      <c r="E22" s="30"/>
      <c r="F22" s="30"/>
    </row>
    <row r="23" spans="1:7" ht="15.75" hidden="1" x14ac:dyDescent="0.25">
      <c r="A23" s="4" t="s">
        <v>4</v>
      </c>
      <c r="B23" s="7" t="s">
        <v>113</v>
      </c>
      <c r="C23" s="30"/>
      <c r="D23" s="30"/>
      <c r="E23" s="30"/>
      <c r="F23" s="30"/>
    </row>
    <row r="24" spans="1:7" ht="15.75" hidden="1" x14ac:dyDescent="0.25">
      <c r="A24" s="4" t="s">
        <v>4</v>
      </c>
      <c r="B24" s="7" t="s">
        <v>114</v>
      </c>
      <c r="C24" s="30"/>
      <c r="D24" s="30"/>
      <c r="E24" s="30"/>
      <c r="F24" s="30"/>
    </row>
    <row r="25" spans="1:7" ht="19.5" hidden="1" customHeight="1" x14ac:dyDescent="0.25">
      <c r="A25" s="4" t="s">
        <v>4</v>
      </c>
      <c r="B25" s="7" t="s">
        <v>115</v>
      </c>
      <c r="C25" s="30"/>
      <c r="D25" s="30"/>
      <c r="E25" s="30"/>
      <c r="F25" s="30"/>
    </row>
    <row r="26" spans="1:7" ht="15.75" hidden="1" x14ac:dyDescent="0.25">
      <c r="A26" s="4" t="s">
        <v>4</v>
      </c>
      <c r="B26" s="7" t="s">
        <v>116</v>
      </c>
      <c r="C26" s="30"/>
      <c r="D26" s="30"/>
      <c r="E26" s="30"/>
      <c r="F26" s="30"/>
    </row>
    <row r="27" spans="1:7" ht="15.75" hidden="1" x14ac:dyDescent="0.25">
      <c r="A27" s="4" t="s">
        <v>4</v>
      </c>
      <c r="B27" s="7" t="s">
        <v>117</v>
      </c>
      <c r="C27" s="30"/>
      <c r="D27" s="30"/>
      <c r="E27" s="30"/>
      <c r="F27" s="30"/>
    </row>
    <row r="28" spans="1:7" ht="78.75" hidden="1" x14ac:dyDescent="0.25">
      <c r="A28" s="4">
        <v>2</v>
      </c>
      <c r="B28" s="7" t="s">
        <v>90</v>
      </c>
      <c r="C28" s="30"/>
      <c r="D28" s="30"/>
      <c r="E28" s="30"/>
      <c r="F28" s="30"/>
    </row>
    <row r="29" spans="1:7" ht="15.75" hidden="1" x14ac:dyDescent="0.25">
      <c r="A29" s="4">
        <v>3</v>
      </c>
      <c r="B29" s="7" t="s">
        <v>91</v>
      </c>
      <c r="C29" s="30"/>
      <c r="D29" s="30"/>
      <c r="E29" s="30"/>
      <c r="F29" s="30"/>
    </row>
    <row r="30" spans="1:7" ht="21.75" customHeight="1" x14ac:dyDescent="0.25">
      <c r="A30" s="5" t="s">
        <v>7</v>
      </c>
      <c r="B30" s="6" t="s">
        <v>15</v>
      </c>
      <c r="C30" s="18">
        <f>SUM(C31:C43)</f>
        <v>2350864</v>
      </c>
      <c r="D30" s="18">
        <f>SUM(D31:D43)</f>
        <v>2124744</v>
      </c>
      <c r="E30" s="18">
        <f>SUM(E31:E43)</f>
        <v>-226120</v>
      </c>
      <c r="F30" s="22">
        <f>D30/C30*100</f>
        <v>90.381408707607079</v>
      </c>
      <c r="G30" s="23"/>
    </row>
    <row r="31" spans="1:7" ht="15.75" x14ac:dyDescent="0.25">
      <c r="A31" s="4" t="s">
        <v>4</v>
      </c>
      <c r="B31" s="7" t="s">
        <v>86</v>
      </c>
      <c r="C31" s="17">
        <v>498585</v>
      </c>
      <c r="D31" s="36">
        <f>449365-13155</f>
        <v>436210</v>
      </c>
      <c r="E31" s="17">
        <f>D31-C31</f>
        <v>-62375</v>
      </c>
      <c r="F31" s="25">
        <f>D31/C31*100</f>
        <v>87.489595555421843</v>
      </c>
    </row>
    <row r="32" spans="1:7" ht="15.75" x14ac:dyDescent="0.25">
      <c r="A32" s="4" t="s">
        <v>4</v>
      </c>
      <c r="B32" s="7" t="s">
        <v>122</v>
      </c>
      <c r="C32" s="17">
        <v>19913</v>
      </c>
      <c r="D32" s="36">
        <f>11314-903</f>
        <v>10411</v>
      </c>
      <c r="E32" s="17">
        <f t="shared" ref="E32:E43" si="1">D32-C32</f>
        <v>-9502</v>
      </c>
      <c r="F32" s="25">
        <f t="shared" ref="F32:F45" si="2">D32/C32*100</f>
        <v>52.282428564254502</v>
      </c>
    </row>
    <row r="33" spans="1:7" ht="15.75" x14ac:dyDescent="0.25">
      <c r="A33" s="4" t="s">
        <v>4</v>
      </c>
      <c r="B33" s="7" t="s">
        <v>107</v>
      </c>
      <c r="C33" s="17">
        <f>66280+21380</f>
        <v>87660</v>
      </c>
      <c r="D33" s="36">
        <f>115624</f>
        <v>115624</v>
      </c>
      <c r="E33" s="17">
        <f t="shared" si="1"/>
        <v>27964</v>
      </c>
      <c r="F33" s="25">
        <f t="shared" si="2"/>
        <v>131.90052475473419</v>
      </c>
    </row>
    <row r="34" spans="1:7" ht="15.75" x14ac:dyDescent="0.25">
      <c r="A34" s="4" t="s">
        <v>4</v>
      </c>
      <c r="B34" s="7" t="s">
        <v>108</v>
      </c>
      <c r="C34" s="17">
        <v>46010</v>
      </c>
      <c r="D34" s="36">
        <f>69117-20726</f>
        <v>48391</v>
      </c>
      <c r="E34" s="17">
        <f t="shared" si="1"/>
        <v>2381</v>
      </c>
      <c r="F34" s="25">
        <f t="shared" si="2"/>
        <v>105.17496196479026</v>
      </c>
    </row>
    <row r="35" spans="1:7" ht="15.75" x14ac:dyDescent="0.25">
      <c r="A35" s="4" t="s">
        <v>4</v>
      </c>
      <c r="B35" s="7" t="s">
        <v>109</v>
      </c>
      <c r="C35" s="17">
        <v>624603</v>
      </c>
      <c r="D35" s="36">
        <f>658297-8198</f>
        <v>650099</v>
      </c>
      <c r="E35" s="17">
        <f t="shared" si="1"/>
        <v>25496</v>
      </c>
      <c r="F35" s="25">
        <f t="shared" si="2"/>
        <v>104.08195285645444</v>
      </c>
    </row>
    <row r="36" spans="1:7" ht="15.75" x14ac:dyDescent="0.25">
      <c r="A36" s="4" t="s">
        <v>4</v>
      </c>
      <c r="B36" s="7" t="s">
        <v>110</v>
      </c>
      <c r="C36" s="17">
        <v>34338</v>
      </c>
      <c r="D36" s="36">
        <f>47526-334</f>
        <v>47192</v>
      </c>
      <c r="E36" s="17">
        <f t="shared" si="1"/>
        <v>12854</v>
      </c>
      <c r="F36" s="25">
        <f t="shared" si="2"/>
        <v>137.43374686935758</v>
      </c>
    </row>
    <row r="37" spans="1:7" ht="15.75" x14ac:dyDescent="0.25">
      <c r="A37" s="4" t="s">
        <v>4</v>
      </c>
      <c r="B37" s="7" t="s">
        <v>111</v>
      </c>
      <c r="C37" s="17">
        <v>26109</v>
      </c>
      <c r="D37" s="36">
        <v>16500</v>
      </c>
      <c r="E37" s="17">
        <f t="shared" si="1"/>
        <v>-9609</v>
      </c>
      <c r="F37" s="25">
        <f t="shared" si="2"/>
        <v>63.196598873951515</v>
      </c>
    </row>
    <row r="38" spans="1:7" ht="15.75" x14ac:dyDescent="0.25">
      <c r="A38" s="4" t="s">
        <v>4</v>
      </c>
      <c r="B38" s="7" t="s">
        <v>112</v>
      </c>
      <c r="C38" s="17">
        <v>21830</v>
      </c>
      <c r="D38" s="36">
        <v>20725</v>
      </c>
      <c r="E38" s="17">
        <f t="shared" si="1"/>
        <v>-1105</v>
      </c>
      <c r="F38" s="25">
        <f t="shared" si="2"/>
        <v>94.938158497480529</v>
      </c>
    </row>
    <row r="39" spans="1:7" ht="15.75" x14ac:dyDescent="0.25">
      <c r="A39" s="4" t="s">
        <v>4</v>
      </c>
      <c r="B39" s="7" t="s">
        <v>113</v>
      </c>
      <c r="C39" s="17">
        <v>31423</v>
      </c>
      <c r="D39" s="36">
        <v>18780</v>
      </c>
      <c r="E39" s="17">
        <f t="shared" si="1"/>
        <v>-12643</v>
      </c>
      <c r="F39" s="25">
        <f t="shared" si="2"/>
        <v>59.765140183941703</v>
      </c>
    </row>
    <row r="40" spans="1:7" ht="15.75" x14ac:dyDescent="0.25">
      <c r="A40" s="4" t="s">
        <v>4</v>
      </c>
      <c r="B40" s="7" t="s">
        <v>114</v>
      </c>
      <c r="C40" s="17">
        <v>484327</v>
      </c>
      <c r="D40" s="36">
        <f>761161-196125-149570</f>
        <v>415466</v>
      </c>
      <c r="E40" s="17">
        <f t="shared" si="1"/>
        <v>-68861</v>
      </c>
      <c r="F40" s="25">
        <f t="shared" si="2"/>
        <v>85.78212653847504</v>
      </c>
    </row>
    <row r="41" spans="1:7" ht="19.5" customHeight="1" x14ac:dyDescent="0.25">
      <c r="A41" s="4" t="s">
        <v>4</v>
      </c>
      <c r="B41" s="65" t="s">
        <v>115</v>
      </c>
      <c r="C41" s="17">
        <v>337014</v>
      </c>
      <c r="D41" s="36">
        <f>287022-762</f>
        <v>286260</v>
      </c>
      <c r="E41" s="17">
        <f t="shared" si="1"/>
        <v>-50754</v>
      </c>
      <c r="F41" s="25">
        <f t="shared" si="2"/>
        <v>84.940091509551536</v>
      </c>
    </row>
    <row r="42" spans="1:7" ht="18" customHeight="1" x14ac:dyDescent="0.25">
      <c r="A42" s="4" t="s">
        <v>4</v>
      </c>
      <c r="B42" s="7" t="s">
        <v>116</v>
      </c>
      <c r="C42" s="17">
        <v>98243</v>
      </c>
      <c r="D42" s="36">
        <f>43205-7626-360</f>
        <v>35219</v>
      </c>
      <c r="E42" s="17">
        <f t="shared" si="1"/>
        <v>-63024</v>
      </c>
      <c r="F42" s="25">
        <f t="shared" si="2"/>
        <v>35.848864550146061</v>
      </c>
    </row>
    <row r="43" spans="1:7" ht="19.5" customHeight="1" x14ac:dyDescent="0.25">
      <c r="A43" s="4" t="s">
        <v>4</v>
      </c>
      <c r="B43" s="7" t="s">
        <v>200</v>
      </c>
      <c r="C43" s="17">
        <f>35809+5000</f>
        <v>40809</v>
      </c>
      <c r="D43" s="36">
        <v>23867</v>
      </c>
      <c r="E43" s="17">
        <f t="shared" si="1"/>
        <v>-16942</v>
      </c>
      <c r="F43" s="25">
        <f t="shared" si="2"/>
        <v>58.484647994314976</v>
      </c>
    </row>
    <row r="44" spans="1:7" ht="27.75" customHeight="1" x14ac:dyDescent="0.25">
      <c r="A44" s="5" t="s">
        <v>8</v>
      </c>
      <c r="B44" s="66" t="s">
        <v>258</v>
      </c>
      <c r="C44" s="37">
        <v>600</v>
      </c>
      <c r="D44" s="18">
        <v>988</v>
      </c>
      <c r="E44" s="18">
        <f>D44-C44</f>
        <v>388</v>
      </c>
      <c r="F44" s="43">
        <f t="shared" si="2"/>
        <v>164.66666666666669</v>
      </c>
    </row>
    <row r="45" spans="1:7" ht="20.25" customHeight="1" x14ac:dyDescent="0.25">
      <c r="A45" s="5" t="s">
        <v>9</v>
      </c>
      <c r="B45" s="6" t="s">
        <v>259</v>
      </c>
      <c r="C45" s="37">
        <v>1000</v>
      </c>
      <c r="D45" s="42">
        <v>1000</v>
      </c>
      <c r="E45" s="18">
        <f t="shared" ref="E45:E46" si="3">D45-C45</f>
        <v>0</v>
      </c>
      <c r="F45" s="43">
        <f t="shared" si="2"/>
        <v>100</v>
      </c>
    </row>
    <row r="46" spans="1:7" ht="20.25" customHeight="1" x14ac:dyDescent="0.25">
      <c r="A46" s="5" t="s">
        <v>23</v>
      </c>
      <c r="B46" s="6" t="s">
        <v>38</v>
      </c>
      <c r="C46" s="37">
        <v>80343</v>
      </c>
      <c r="D46" s="30"/>
      <c r="E46" s="18">
        <f t="shared" si="3"/>
        <v>-80343</v>
      </c>
      <c r="F46" s="43"/>
    </row>
    <row r="47" spans="1:7" ht="20.25" customHeight="1" x14ac:dyDescent="0.25">
      <c r="A47" s="5" t="s">
        <v>92</v>
      </c>
      <c r="B47" s="6" t="s">
        <v>260</v>
      </c>
      <c r="C47" s="18">
        <f>C48+C49</f>
        <v>1249277</v>
      </c>
      <c r="D47" s="18">
        <f>D48+D49</f>
        <v>909540</v>
      </c>
      <c r="E47" s="18">
        <f>SUM(E48:E49)</f>
        <v>-339737</v>
      </c>
      <c r="F47" s="22">
        <f>D47/C47*100</f>
        <v>72.805310591646204</v>
      </c>
      <c r="G47" s="23"/>
    </row>
    <row r="48" spans="1:7" ht="20.25" customHeight="1" x14ac:dyDescent="0.25">
      <c r="A48" s="50"/>
      <c r="B48" s="51" t="s">
        <v>40</v>
      </c>
      <c r="C48" s="31">
        <v>101917</v>
      </c>
      <c r="D48" s="31">
        <v>13015</v>
      </c>
      <c r="E48" s="17">
        <f>D48-C48</f>
        <v>-88902</v>
      </c>
      <c r="F48" s="25"/>
    </row>
    <row r="49" spans="1:6" ht="20.25" customHeight="1" x14ac:dyDescent="0.25">
      <c r="A49" s="50"/>
      <c r="B49" s="51" t="s">
        <v>261</v>
      </c>
      <c r="C49" s="31">
        <f>1249277-101917</f>
        <v>1147360</v>
      </c>
      <c r="D49" s="31">
        <f>909540-13015</f>
        <v>896525</v>
      </c>
      <c r="E49" s="17">
        <f>D49-C49</f>
        <v>-250835</v>
      </c>
      <c r="F49" s="30"/>
    </row>
    <row r="50" spans="1:6" ht="20.25" customHeight="1" x14ac:dyDescent="0.25">
      <c r="A50" s="5" t="s">
        <v>10</v>
      </c>
      <c r="B50" s="6" t="s">
        <v>97</v>
      </c>
      <c r="C50" s="30"/>
      <c r="D50" s="18">
        <v>2957467</v>
      </c>
      <c r="E50" s="18">
        <f>D50-C50</f>
        <v>2957467</v>
      </c>
      <c r="F50" s="30"/>
    </row>
    <row r="51" spans="1:6" ht="21.75" customHeight="1" x14ac:dyDescent="0.25">
      <c r="A51" s="106" t="s">
        <v>13</v>
      </c>
      <c r="B51" s="12" t="s">
        <v>257</v>
      </c>
      <c r="C51" s="30"/>
      <c r="D51" s="18">
        <v>1082</v>
      </c>
      <c r="E51" s="30"/>
      <c r="F51" s="30"/>
    </row>
    <row r="52" spans="1:6" ht="11.25" customHeight="1" x14ac:dyDescent="0.25">
      <c r="A52" s="45"/>
      <c r="B52" s="46"/>
      <c r="C52" s="48"/>
      <c r="D52" s="48"/>
      <c r="E52" s="47"/>
      <c r="F52" s="47"/>
    </row>
    <row r="53" spans="1:6" ht="53.25" customHeight="1" x14ac:dyDescent="0.25">
      <c r="A53" s="172" t="s">
        <v>641</v>
      </c>
      <c r="B53" s="176"/>
      <c r="C53" s="176"/>
      <c r="D53" s="176"/>
      <c r="E53" s="176"/>
      <c r="F53" s="176"/>
    </row>
    <row r="54" spans="1:6" s="10" customFormat="1" ht="23.25" customHeight="1" x14ac:dyDescent="0.25">
      <c r="A54" s="9"/>
    </row>
    <row r="55" spans="1:6" ht="54" customHeight="1" x14ac:dyDescent="0.25">
      <c r="A55" s="172"/>
      <c r="B55" s="172"/>
      <c r="C55" s="172"/>
      <c r="D55" s="172"/>
      <c r="E55" s="172"/>
      <c r="F55" s="172"/>
    </row>
  </sheetData>
  <mergeCells count="9">
    <mergeCell ref="A3:F3"/>
    <mergeCell ref="A4:F4"/>
    <mergeCell ref="A55:F55"/>
    <mergeCell ref="A7:A8"/>
    <mergeCell ref="B7:B8"/>
    <mergeCell ref="C7:C8"/>
    <mergeCell ref="D7:D8"/>
    <mergeCell ref="E7:F7"/>
    <mergeCell ref="A53:F53"/>
  </mergeCells>
  <pageMargins left="0.48" right="0.2" top="0.51"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94"/>
  <sheetViews>
    <sheetView zoomScale="70" zoomScaleNormal="70" workbookViewId="0">
      <selection activeCell="H27" sqref="H27"/>
    </sheetView>
  </sheetViews>
  <sheetFormatPr defaultRowHeight="15" x14ac:dyDescent="0.25"/>
  <cols>
    <col min="1" max="1" width="4.85546875" customWidth="1"/>
    <col min="2" max="2" width="54.85546875" customWidth="1"/>
    <col min="3" max="3" width="10.42578125" customWidth="1"/>
    <col min="4" max="4" width="10.140625" customWidth="1"/>
    <col min="5" max="5" width="10.28515625" customWidth="1"/>
    <col min="6" max="6" width="11.5703125" customWidth="1"/>
    <col min="7" max="7" width="9.85546875" customWidth="1"/>
    <col min="8" max="8" width="10.85546875" customWidth="1"/>
    <col min="9" max="9" width="8.28515625" customWidth="1"/>
    <col min="10" max="10" width="8.42578125" customWidth="1"/>
    <col min="12" max="12" width="9.85546875" bestFit="1" customWidth="1"/>
  </cols>
  <sheetData>
    <row r="1" spans="1:12" ht="15.75" x14ac:dyDescent="0.25">
      <c r="K1" s="1" t="s">
        <v>647</v>
      </c>
    </row>
    <row r="2" spans="1:12" ht="15.75" x14ac:dyDescent="0.25">
      <c r="K2" s="1"/>
    </row>
    <row r="3" spans="1:12" ht="34.5" customHeight="1" x14ac:dyDescent="0.25">
      <c r="A3" s="168" t="s">
        <v>589</v>
      </c>
      <c r="B3" s="168"/>
      <c r="C3" s="168"/>
      <c r="D3" s="168"/>
      <c r="E3" s="168"/>
      <c r="F3" s="168"/>
      <c r="G3" s="168"/>
      <c r="H3" s="168"/>
      <c r="I3" s="168"/>
      <c r="J3" s="168"/>
      <c r="K3" s="168"/>
    </row>
    <row r="4" spans="1:12" ht="15.75" x14ac:dyDescent="0.25">
      <c r="A4" s="169" t="s">
        <v>658</v>
      </c>
      <c r="B4" s="169"/>
      <c r="C4" s="169"/>
      <c r="D4" s="169"/>
      <c r="E4" s="169"/>
      <c r="F4" s="169"/>
      <c r="G4" s="169"/>
      <c r="H4" s="169"/>
      <c r="I4" s="169"/>
      <c r="J4" s="169"/>
      <c r="K4" s="169"/>
    </row>
    <row r="5" spans="1:12" ht="15.75" x14ac:dyDescent="0.25">
      <c r="A5" s="69"/>
      <c r="B5" s="69"/>
      <c r="C5" s="69"/>
      <c r="D5" s="69"/>
      <c r="E5" s="69"/>
      <c r="F5" s="69"/>
      <c r="G5" s="69"/>
      <c r="H5" s="69"/>
      <c r="I5" s="69"/>
      <c r="J5" s="69"/>
      <c r="K5" s="69"/>
    </row>
    <row r="6" spans="1:12" ht="15.75" x14ac:dyDescent="0.25">
      <c r="K6" s="2" t="s">
        <v>5</v>
      </c>
    </row>
    <row r="7" spans="1:12" ht="15.75" x14ac:dyDescent="0.25">
      <c r="A7" s="171" t="s">
        <v>0</v>
      </c>
      <c r="B7" s="171" t="s">
        <v>555</v>
      </c>
      <c r="C7" s="171" t="s">
        <v>583</v>
      </c>
      <c r="D7" s="171" t="s">
        <v>98</v>
      </c>
      <c r="E7" s="171"/>
      <c r="F7" s="171" t="s">
        <v>134</v>
      </c>
      <c r="G7" s="171" t="s">
        <v>98</v>
      </c>
      <c r="H7" s="171"/>
      <c r="I7" s="171" t="s">
        <v>68</v>
      </c>
      <c r="J7" s="171"/>
      <c r="K7" s="171"/>
    </row>
    <row r="8" spans="1:12" ht="63" x14ac:dyDescent="0.25">
      <c r="A8" s="171"/>
      <c r="B8" s="171"/>
      <c r="C8" s="171"/>
      <c r="D8" s="5" t="s">
        <v>252</v>
      </c>
      <c r="E8" s="5" t="s">
        <v>60</v>
      </c>
      <c r="F8" s="171"/>
      <c r="G8" s="5" t="s">
        <v>252</v>
      </c>
      <c r="H8" s="5" t="s">
        <v>60</v>
      </c>
      <c r="I8" s="5" t="s">
        <v>99</v>
      </c>
      <c r="J8" s="5" t="s">
        <v>252</v>
      </c>
      <c r="K8" s="5" t="s">
        <v>60</v>
      </c>
    </row>
    <row r="9" spans="1:12" ht="19.5" customHeight="1" x14ac:dyDescent="0.25">
      <c r="A9" s="5" t="s">
        <v>2</v>
      </c>
      <c r="B9" s="5" t="s">
        <v>3</v>
      </c>
      <c r="C9" s="5" t="s">
        <v>100</v>
      </c>
      <c r="D9" s="5">
        <v>2</v>
      </c>
      <c r="E9" s="5">
        <v>3</v>
      </c>
      <c r="F9" s="5" t="s">
        <v>101</v>
      </c>
      <c r="G9" s="5">
        <v>5</v>
      </c>
      <c r="H9" s="5">
        <v>6</v>
      </c>
      <c r="I9" s="5" t="s">
        <v>102</v>
      </c>
      <c r="J9" s="5" t="s">
        <v>103</v>
      </c>
      <c r="K9" s="5" t="s">
        <v>104</v>
      </c>
    </row>
    <row r="10" spans="1:12" ht="19.5" customHeight="1" x14ac:dyDescent="0.25">
      <c r="A10" s="5"/>
      <c r="B10" s="6" t="s">
        <v>14</v>
      </c>
      <c r="C10" s="18">
        <f>C11+C32</f>
        <v>8983651</v>
      </c>
      <c r="D10" s="18">
        <f>D11+D32</f>
        <v>5438264</v>
      </c>
      <c r="E10" s="18">
        <f>E11+E32</f>
        <v>3545387</v>
      </c>
      <c r="F10" s="18">
        <f>F11+F32+F93</f>
        <v>13007041</v>
      </c>
      <c r="G10" s="18">
        <f>G11+G32+G93</f>
        <v>7704749</v>
      </c>
      <c r="H10" s="18">
        <f>H11+H32+H93</f>
        <v>5302292</v>
      </c>
      <c r="I10" s="22">
        <f t="shared" ref="I10:K12" si="0">F10/C10*100</f>
        <v>144.78568902554207</v>
      </c>
      <c r="J10" s="22">
        <f t="shared" si="0"/>
        <v>141.67662695301294</v>
      </c>
      <c r="K10" s="22">
        <f t="shared" si="0"/>
        <v>149.55467484931827</v>
      </c>
      <c r="L10" s="23"/>
    </row>
    <row r="11" spans="1:12" ht="18" customHeight="1" x14ac:dyDescent="0.25">
      <c r="A11" s="5" t="s">
        <v>2</v>
      </c>
      <c r="B11" s="6" t="s">
        <v>83</v>
      </c>
      <c r="C11" s="18">
        <f>C12+C22+C28+C29+C27</f>
        <v>7734374</v>
      </c>
      <c r="D11" s="18">
        <f>D12+D22+D28+D29+D27</f>
        <v>4188987</v>
      </c>
      <c r="E11" s="18">
        <f>E12+E22+E28+E29</f>
        <v>3545387</v>
      </c>
      <c r="F11" s="18">
        <f>G11+H11</f>
        <v>8078918</v>
      </c>
      <c r="G11" s="18">
        <f>G12+G22+G27+G28+G31</f>
        <v>3837742</v>
      </c>
      <c r="H11" s="18">
        <f>H12+H22+H27+H28+H31</f>
        <v>4241176</v>
      </c>
      <c r="I11" s="22">
        <f t="shared" si="0"/>
        <v>104.45471087899291</v>
      </c>
      <c r="J11" s="22">
        <f t="shared" si="0"/>
        <v>91.615037239313466</v>
      </c>
      <c r="K11" s="22">
        <f t="shared" si="0"/>
        <v>119.62519183378288</v>
      </c>
    </row>
    <row r="12" spans="1:12" ht="17.25" customHeight="1" x14ac:dyDescent="0.25">
      <c r="A12" s="5" t="s">
        <v>11</v>
      </c>
      <c r="B12" s="6" t="s">
        <v>66</v>
      </c>
      <c r="C12" s="18">
        <f>D12+E12</f>
        <v>1948180</v>
      </c>
      <c r="D12" s="18">
        <v>1756180</v>
      </c>
      <c r="E12" s="18">
        <v>192000</v>
      </c>
      <c r="F12" s="18">
        <f>G12+H12</f>
        <v>2408820</v>
      </c>
      <c r="G12" s="18">
        <f>2090210+132762-513044</f>
        <v>1709928</v>
      </c>
      <c r="H12" s="18">
        <f>680932+98222-80262</f>
        <v>698892</v>
      </c>
      <c r="I12" s="22">
        <f t="shared" si="0"/>
        <v>123.64463242616186</v>
      </c>
      <c r="J12" s="22">
        <f t="shared" si="0"/>
        <v>97.3663291917685</v>
      </c>
      <c r="K12" s="22">
        <f t="shared" si="0"/>
        <v>364.00625000000002</v>
      </c>
    </row>
    <row r="13" spans="1:12" ht="15.75" hidden="1" x14ac:dyDescent="0.25">
      <c r="A13" s="4">
        <v>1</v>
      </c>
      <c r="B13" s="7" t="s">
        <v>84</v>
      </c>
      <c r="C13" s="17"/>
      <c r="D13" s="17"/>
      <c r="E13" s="17"/>
      <c r="F13" s="17"/>
      <c r="G13" s="17"/>
      <c r="H13" s="17"/>
      <c r="I13" s="17"/>
      <c r="J13" s="17"/>
      <c r="K13" s="17"/>
    </row>
    <row r="14" spans="1:12" ht="15.75" hidden="1" x14ac:dyDescent="0.25">
      <c r="A14" s="4"/>
      <c r="B14" s="8" t="s">
        <v>85</v>
      </c>
      <c r="C14" s="17"/>
      <c r="D14" s="17"/>
      <c r="E14" s="17"/>
      <c r="F14" s="17"/>
      <c r="G14" s="17"/>
      <c r="H14" s="17"/>
      <c r="I14" s="17"/>
      <c r="J14" s="17"/>
      <c r="K14" s="17"/>
    </row>
    <row r="15" spans="1:12" ht="15.75" hidden="1" x14ac:dyDescent="0.25">
      <c r="A15" s="4" t="s">
        <v>4</v>
      </c>
      <c r="B15" s="8" t="s">
        <v>86</v>
      </c>
      <c r="C15" s="17"/>
      <c r="D15" s="17"/>
      <c r="E15" s="17"/>
      <c r="F15" s="17"/>
      <c r="G15" s="17"/>
      <c r="H15" s="17"/>
      <c r="I15" s="17"/>
      <c r="J15" s="17"/>
      <c r="K15" s="17"/>
    </row>
    <row r="16" spans="1:12" ht="15.75" hidden="1" x14ac:dyDescent="0.25">
      <c r="A16" s="4" t="s">
        <v>4</v>
      </c>
      <c r="B16" s="8" t="s">
        <v>87</v>
      </c>
      <c r="C16" s="17"/>
      <c r="D16" s="17"/>
      <c r="E16" s="17"/>
      <c r="F16" s="17"/>
      <c r="G16" s="17"/>
      <c r="H16" s="17"/>
      <c r="I16" s="17"/>
      <c r="J16" s="17"/>
      <c r="K16" s="17"/>
    </row>
    <row r="17" spans="1:11" ht="15.75" hidden="1" x14ac:dyDescent="0.25">
      <c r="A17" s="4"/>
      <c r="B17" s="8" t="s">
        <v>88</v>
      </c>
      <c r="C17" s="17"/>
      <c r="D17" s="17"/>
      <c r="E17" s="17"/>
      <c r="F17" s="17"/>
      <c r="G17" s="17"/>
      <c r="H17" s="17"/>
      <c r="I17" s="17"/>
      <c r="J17" s="17"/>
      <c r="K17" s="17"/>
    </row>
    <row r="18" spans="1:11" ht="25.5" hidden="1" customHeight="1" x14ac:dyDescent="0.25">
      <c r="A18" s="4" t="s">
        <v>4</v>
      </c>
      <c r="B18" s="8" t="s">
        <v>89</v>
      </c>
      <c r="C18" s="17"/>
      <c r="D18" s="17"/>
      <c r="E18" s="17"/>
      <c r="F18" s="17"/>
      <c r="G18" s="17"/>
      <c r="H18" s="17"/>
      <c r="I18" s="17"/>
      <c r="J18" s="17"/>
      <c r="K18" s="17"/>
    </row>
    <row r="19" spans="1:11" ht="15.75" hidden="1" x14ac:dyDescent="0.25">
      <c r="A19" s="4" t="s">
        <v>4</v>
      </c>
      <c r="B19" s="8" t="s">
        <v>105</v>
      </c>
      <c r="C19" s="17"/>
      <c r="D19" s="17"/>
      <c r="E19" s="17"/>
      <c r="F19" s="17"/>
      <c r="G19" s="17"/>
      <c r="H19" s="17"/>
      <c r="I19" s="17"/>
      <c r="J19" s="17"/>
      <c r="K19" s="17"/>
    </row>
    <row r="20" spans="1:11" ht="63" hidden="1" x14ac:dyDescent="0.25">
      <c r="A20" s="4">
        <v>2</v>
      </c>
      <c r="B20" s="7" t="s">
        <v>90</v>
      </c>
      <c r="C20" s="17"/>
      <c r="D20" s="17"/>
      <c r="E20" s="17"/>
      <c r="F20" s="17"/>
      <c r="G20" s="17"/>
      <c r="H20" s="17"/>
      <c r="I20" s="17"/>
      <c r="J20" s="17"/>
      <c r="K20" s="17"/>
    </row>
    <row r="21" spans="1:11" ht="15.75" hidden="1" x14ac:dyDescent="0.25">
      <c r="A21" s="4">
        <v>3</v>
      </c>
      <c r="B21" s="7" t="s">
        <v>91</v>
      </c>
      <c r="C21" s="17"/>
      <c r="D21" s="17"/>
      <c r="E21" s="17"/>
      <c r="F21" s="17"/>
      <c r="G21" s="17"/>
      <c r="H21" s="17"/>
      <c r="I21" s="17"/>
      <c r="J21" s="17"/>
      <c r="K21" s="17"/>
    </row>
    <row r="22" spans="1:11" ht="18.75" customHeight="1" x14ac:dyDescent="0.25">
      <c r="A22" s="5" t="s">
        <v>7</v>
      </c>
      <c r="B22" s="6" t="s">
        <v>15</v>
      </c>
      <c r="C22" s="18">
        <f>D22+E22</f>
        <v>5634734</v>
      </c>
      <c r="D22" s="18">
        <v>2350864</v>
      </c>
      <c r="E22" s="18">
        <v>3283870</v>
      </c>
      <c r="F22" s="18">
        <f>G22+H22</f>
        <v>5649380</v>
      </c>
      <c r="G22" s="18">
        <f>2521240-396496</f>
        <v>2124744</v>
      </c>
      <c r="H22" s="18">
        <f>2944939+638828-59131</f>
        <v>3524636</v>
      </c>
      <c r="I22" s="22">
        <f>F22/C22*100</f>
        <v>100.25992353853795</v>
      </c>
      <c r="J22" s="22">
        <f>G22/D22*100</f>
        <v>90.381408707607079</v>
      </c>
      <c r="K22" s="22">
        <f>H22/E22*100</f>
        <v>107.33177622743897</v>
      </c>
    </row>
    <row r="23" spans="1:11" ht="15.75" x14ac:dyDescent="0.25">
      <c r="A23" s="4"/>
      <c r="B23" s="8" t="s">
        <v>26</v>
      </c>
      <c r="C23" s="17"/>
      <c r="D23" s="17"/>
      <c r="E23" s="17"/>
      <c r="F23" s="17"/>
      <c r="G23" s="17"/>
      <c r="H23" s="17"/>
      <c r="I23" s="17"/>
      <c r="J23" s="17"/>
      <c r="K23" s="17"/>
    </row>
    <row r="24" spans="1:11" ht="15.75" x14ac:dyDescent="0.25">
      <c r="A24" s="59">
        <v>1</v>
      </c>
      <c r="B24" s="8" t="s">
        <v>86</v>
      </c>
      <c r="C24" s="40">
        <f>D24+E24</f>
        <v>2536853</v>
      </c>
      <c r="D24" s="40">
        <v>498585</v>
      </c>
      <c r="E24" s="40">
        <v>2038268</v>
      </c>
      <c r="F24" s="31">
        <f>G24+H24</f>
        <v>2487617</v>
      </c>
      <c r="G24" s="31">
        <f>449365-13155</f>
        <v>436210</v>
      </c>
      <c r="H24" s="31">
        <f>2068825-17418</f>
        <v>2051407</v>
      </c>
      <c r="I24" s="25">
        <f>F24/C24*100</f>
        <v>98.059170160825232</v>
      </c>
      <c r="J24" s="25">
        <f>G24/D24*100</f>
        <v>87.489595555421843</v>
      </c>
      <c r="K24" s="25">
        <f>H24/E24*100</f>
        <v>100.64461591900576</v>
      </c>
    </row>
    <row r="25" spans="1:11" ht="15.75" x14ac:dyDescent="0.25">
      <c r="A25" s="59">
        <v>2</v>
      </c>
      <c r="B25" s="8" t="s">
        <v>87</v>
      </c>
      <c r="C25" s="40">
        <f>D25+E25</f>
        <v>19913</v>
      </c>
      <c r="D25" s="40">
        <v>19913</v>
      </c>
      <c r="E25" s="36"/>
      <c r="F25" s="31">
        <f t="shared" ref="F25:F26" si="1">G25+H25</f>
        <v>11638</v>
      </c>
      <c r="G25" s="31">
        <v>10411</v>
      </c>
      <c r="H25" s="31">
        <v>1227</v>
      </c>
      <c r="I25" s="25">
        <f t="shared" ref="I25:I26" si="2">F25/C25*100</f>
        <v>58.444232410987794</v>
      </c>
      <c r="J25" s="25">
        <f t="shared" ref="J25:J26" si="3">G25/D25*100</f>
        <v>52.282428564254502</v>
      </c>
      <c r="K25" s="25"/>
    </row>
    <row r="26" spans="1:11" ht="15.75" x14ac:dyDescent="0.25">
      <c r="A26" s="59">
        <v>3</v>
      </c>
      <c r="B26" s="8" t="s">
        <v>113</v>
      </c>
      <c r="C26" s="40">
        <v>96544</v>
      </c>
      <c r="D26" s="40">
        <v>31423</v>
      </c>
      <c r="E26" s="139">
        <v>65121</v>
      </c>
      <c r="F26" s="31">
        <f t="shared" si="1"/>
        <v>99602</v>
      </c>
      <c r="G26" s="31">
        <f>18780+4250</f>
        <v>23030</v>
      </c>
      <c r="H26" s="31">
        <v>76572</v>
      </c>
      <c r="I26" s="25">
        <f t="shared" si="2"/>
        <v>103.16746768312895</v>
      </c>
      <c r="J26" s="25">
        <f t="shared" si="3"/>
        <v>73.290265092448209</v>
      </c>
      <c r="K26" s="25">
        <f t="shared" ref="K26" si="4">H26/E26*100</f>
        <v>117.58418943198046</v>
      </c>
    </row>
    <row r="27" spans="1:11" ht="33" customHeight="1" x14ac:dyDescent="0.25">
      <c r="A27" s="5" t="s">
        <v>8</v>
      </c>
      <c r="B27" s="6" t="s">
        <v>16</v>
      </c>
      <c r="C27" s="18">
        <f>D27</f>
        <v>600</v>
      </c>
      <c r="D27" s="42">
        <v>600</v>
      </c>
      <c r="E27" s="17"/>
      <c r="F27" s="18">
        <f>G27+H27</f>
        <v>988</v>
      </c>
      <c r="G27" s="18">
        <v>988</v>
      </c>
      <c r="H27" s="17"/>
      <c r="I27" s="17"/>
      <c r="J27" s="17"/>
      <c r="K27" s="17"/>
    </row>
    <row r="28" spans="1:11" ht="15.75" x14ac:dyDescent="0.25">
      <c r="A28" s="5" t="s">
        <v>9</v>
      </c>
      <c r="B28" s="6" t="s">
        <v>37</v>
      </c>
      <c r="C28" s="18">
        <v>1000</v>
      </c>
      <c r="D28" s="18">
        <v>1000</v>
      </c>
      <c r="E28" s="17"/>
      <c r="F28" s="42">
        <f>G28+H28</f>
        <v>1000</v>
      </c>
      <c r="G28" s="42">
        <v>1000</v>
      </c>
      <c r="H28" s="17"/>
      <c r="I28" s="17"/>
      <c r="J28" s="17"/>
      <c r="K28" s="17"/>
    </row>
    <row r="29" spans="1:11" ht="15.75" x14ac:dyDescent="0.25">
      <c r="A29" s="5" t="s">
        <v>23</v>
      </c>
      <c r="B29" s="6" t="s">
        <v>38</v>
      </c>
      <c r="C29" s="18">
        <f>D29+E29</f>
        <v>149860</v>
      </c>
      <c r="D29" s="18">
        <v>80343</v>
      </c>
      <c r="E29" s="18">
        <v>69517</v>
      </c>
      <c r="F29" s="18"/>
      <c r="G29" s="17"/>
      <c r="H29" s="17"/>
      <c r="I29" s="17"/>
      <c r="J29" s="17"/>
      <c r="K29" s="17"/>
    </row>
    <row r="30" spans="1:11" ht="15.75" x14ac:dyDescent="0.25">
      <c r="A30" s="5" t="s">
        <v>92</v>
      </c>
      <c r="B30" s="6" t="s">
        <v>17</v>
      </c>
      <c r="C30" s="18"/>
      <c r="D30" s="18"/>
      <c r="E30" s="17"/>
      <c r="F30" s="17"/>
      <c r="G30" s="17"/>
      <c r="H30" s="17"/>
      <c r="I30" s="17"/>
      <c r="J30" s="17"/>
      <c r="K30" s="17"/>
    </row>
    <row r="31" spans="1:11" ht="18.75" customHeight="1" x14ac:dyDescent="0.25">
      <c r="A31" s="29" t="s">
        <v>127</v>
      </c>
      <c r="B31" s="12" t="s">
        <v>177</v>
      </c>
      <c r="C31" s="18"/>
      <c r="D31" s="18"/>
      <c r="E31" s="17"/>
      <c r="F31" s="18">
        <f t="shared" ref="F31:F36" si="5">G31+H31</f>
        <v>18730</v>
      </c>
      <c r="G31" s="18">
        <v>1082</v>
      </c>
      <c r="H31" s="18">
        <f>17293+355</f>
        <v>17648</v>
      </c>
      <c r="I31" s="17"/>
      <c r="J31" s="17"/>
      <c r="K31" s="17"/>
    </row>
    <row r="32" spans="1:11" ht="22.5" customHeight="1" x14ac:dyDescent="0.25">
      <c r="A32" s="5" t="s">
        <v>3</v>
      </c>
      <c r="B32" s="6" t="s">
        <v>93</v>
      </c>
      <c r="C32" s="18">
        <v>1249277</v>
      </c>
      <c r="D32" s="18">
        <v>1249277</v>
      </c>
      <c r="E32" s="17"/>
      <c r="F32" s="18">
        <f t="shared" si="5"/>
        <v>1048933</v>
      </c>
      <c r="G32" s="18">
        <f>G33+G39</f>
        <v>909540</v>
      </c>
      <c r="H32" s="18">
        <f>H33+H39</f>
        <v>139393</v>
      </c>
      <c r="I32" s="22">
        <f>F32/C32*100</f>
        <v>83.963204317377176</v>
      </c>
      <c r="J32" s="22">
        <f>G32/D32*100</f>
        <v>72.805310591646204</v>
      </c>
      <c r="K32" s="17"/>
    </row>
    <row r="33" spans="1:11" ht="18.75" customHeight="1" x14ac:dyDescent="0.25">
      <c r="A33" s="5" t="s">
        <v>11</v>
      </c>
      <c r="B33" s="6" t="s">
        <v>40</v>
      </c>
      <c r="C33" s="18">
        <f>D33</f>
        <v>101917</v>
      </c>
      <c r="D33" s="18">
        <f>D34+D35</f>
        <v>101917</v>
      </c>
      <c r="E33" s="17"/>
      <c r="F33" s="18">
        <f t="shared" si="5"/>
        <v>91777</v>
      </c>
      <c r="G33" s="18">
        <f>SUM(G34:G38)</f>
        <v>13015</v>
      </c>
      <c r="H33" s="18">
        <f>SUM(H34:H38)</f>
        <v>78762</v>
      </c>
      <c r="I33" s="22"/>
      <c r="J33" s="22"/>
      <c r="K33" s="17"/>
    </row>
    <row r="34" spans="1:11" ht="18" customHeight="1" x14ac:dyDescent="0.25">
      <c r="A34" s="59">
        <v>1</v>
      </c>
      <c r="B34" s="58" t="s">
        <v>276</v>
      </c>
      <c r="C34" s="19">
        <f>D34</f>
        <v>22217</v>
      </c>
      <c r="D34" s="41">
        <v>22217</v>
      </c>
      <c r="E34" s="17"/>
      <c r="F34" s="17">
        <f t="shared" si="5"/>
        <v>22155</v>
      </c>
      <c r="G34" s="17">
        <v>4880</v>
      </c>
      <c r="H34" s="17">
        <v>17275</v>
      </c>
      <c r="I34" s="17"/>
      <c r="J34" s="17"/>
      <c r="K34" s="17"/>
    </row>
    <row r="35" spans="1:11" ht="18" customHeight="1" x14ac:dyDescent="0.25">
      <c r="A35" s="59">
        <v>2</v>
      </c>
      <c r="B35" s="58" t="s">
        <v>275</v>
      </c>
      <c r="C35" s="19">
        <f>D35</f>
        <v>79700</v>
      </c>
      <c r="D35" s="41">
        <v>79700</v>
      </c>
      <c r="E35" s="17"/>
      <c r="F35" s="17">
        <f t="shared" si="5"/>
        <v>69099</v>
      </c>
      <c r="G35" s="17">
        <v>7612</v>
      </c>
      <c r="H35" s="17">
        <v>61487</v>
      </c>
      <c r="I35" s="17"/>
      <c r="J35" s="17"/>
      <c r="K35" s="17"/>
    </row>
    <row r="36" spans="1:11" ht="15.75" customHeight="1" x14ac:dyDescent="0.25">
      <c r="A36" s="59">
        <v>3</v>
      </c>
      <c r="B36" s="136" t="s">
        <v>277</v>
      </c>
      <c r="C36" s="18"/>
      <c r="D36" s="19"/>
      <c r="E36" s="17"/>
      <c r="F36" s="17">
        <f t="shared" si="5"/>
        <v>360</v>
      </c>
      <c r="G36" s="17">
        <v>360</v>
      </c>
      <c r="H36" s="17"/>
      <c r="I36" s="17"/>
      <c r="J36" s="17"/>
      <c r="K36" s="17"/>
    </row>
    <row r="37" spans="1:11" ht="20.25" customHeight="1" x14ac:dyDescent="0.25">
      <c r="A37" s="59">
        <v>4</v>
      </c>
      <c r="B37" s="136" t="s">
        <v>599</v>
      </c>
      <c r="C37" s="18"/>
      <c r="D37" s="17"/>
      <c r="E37" s="17"/>
      <c r="F37" s="17">
        <f t="shared" ref="F37:F38" si="6">G37+H37</f>
        <v>73</v>
      </c>
      <c r="G37" s="17">
        <v>73</v>
      </c>
      <c r="H37" s="17"/>
      <c r="I37" s="17"/>
      <c r="J37" s="17"/>
      <c r="K37" s="17"/>
    </row>
    <row r="38" spans="1:11" ht="17.25" customHeight="1" x14ac:dyDescent="0.25">
      <c r="A38" s="59">
        <v>5</v>
      </c>
      <c r="B38" s="136" t="s">
        <v>301</v>
      </c>
      <c r="C38" s="18"/>
      <c r="D38" s="17"/>
      <c r="E38" s="17"/>
      <c r="F38" s="17">
        <f t="shared" si="6"/>
        <v>90</v>
      </c>
      <c r="G38" s="17">
        <v>90</v>
      </c>
      <c r="H38" s="17"/>
      <c r="I38" s="17"/>
      <c r="J38" s="17"/>
      <c r="K38" s="17"/>
    </row>
    <row r="39" spans="1:11" ht="27.75" customHeight="1" x14ac:dyDescent="0.25">
      <c r="A39" s="5" t="s">
        <v>7</v>
      </c>
      <c r="B39" s="6" t="s">
        <v>41</v>
      </c>
      <c r="C39" s="18">
        <f>D39</f>
        <v>1147360</v>
      </c>
      <c r="D39" s="18">
        <v>1147360</v>
      </c>
      <c r="E39" s="17"/>
      <c r="F39" s="18">
        <f t="shared" ref="F39:F47" si="7">G39+H39</f>
        <v>957156</v>
      </c>
      <c r="G39" s="18">
        <f>SUM(G40:G92)</f>
        <v>896525</v>
      </c>
      <c r="H39" s="18">
        <f>SUM(H40:H92)</f>
        <v>60631</v>
      </c>
      <c r="I39" s="22">
        <f>F39/C39*100</f>
        <v>83.422465485985214</v>
      </c>
      <c r="J39" s="22">
        <f>G39/D39*100</f>
        <v>78.138073490447638</v>
      </c>
      <c r="K39" s="17"/>
    </row>
    <row r="40" spans="1:11" ht="33.75" customHeight="1" x14ac:dyDescent="0.25">
      <c r="A40" s="59">
        <v>1</v>
      </c>
      <c r="B40" s="61" t="s">
        <v>600</v>
      </c>
      <c r="C40" s="17"/>
      <c r="D40" s="17"/>
      <c r="E40" s="17"/>
      <c r="F40" s="17">
        <f t="shared" si="7"/>
        <v>10813</v>
      </c>
      <c r="G40" s="17">
        <v>10813</v>
      </c>
      <c r="H40" s="17"/>
      <c r="I40" s="17"/>
      <c r="J40" s="17"/>
      <c r="K40" s="17"/>
    </row>
    <row r="41" spans="1:11" ht="24.75" customHeight="1" x14ac:dyDescent="0.25">
      <c r="A41" s="59">
        <v>2</v>
      </c>
      <c r="B41" s="60" t="s">
        <v>601</v>
      </c>
      <c r="C41" s="17"/>
      <c r="D41" s="17"/>
      <c r="E41" s="17"/>
      <c r="F41" s="17">
        <f t="shared" si="7"/>
        <v>55554</v>
      </c>
      <c r="G41" s="17">
        <v>55554</v>
      </c>
      <c r="H41" s="17"/>
      <c r="I41" s="17"/>
      <c r="J41" s="17"/>
      <c r="K41" s="17"/>
    </row>
    <row r="42" spans="1:11" ht="25.5" customHeight="1" x14ac:dyDescent="0.25">
      <c r="A42" s="59">
        <v>3</v>
      </c>
      <c r="B42" s="60" t="s">
        <v>602</v>
      </c>
      <c r="C42" s="17"/>
      <c r="D42" s="17"/>
      <c r="E42" s="17"/>
      <c r="F42" s="17">
        <f t="shared" si="7"/>
        <v>43191</v>
      </c>
      <c r="G42" s="17">
        <v>43191</v>
      </c>
      <c r="H42" s="17"/>
      <c r="I42" s="17"/>
      <c r="J42" s="17"/>
      <c r="K42" s="17"/>
    </row>
    <row r="43" spans="1:11" ht="33" customHeight="1" x14ac:dyDescent="0.25">
      <c r="A43" s="59">
        <v>4</v>
      </c>
      <c r="B43" s="58" t="s">
        <v>559</v>
      </c>
      <c r="C43" s="17"/>
      <c r="D43" s="17"/>
      <c r="E43" s="17"/>
      <c r="F43" s="17">
        <f t="shared" si="7"/>
        <v>47876</v>
      </c>
      <c r="G43" s="17">
        <f>2500+45376</f>
        <v>47876</v>
      </c>
      <c r="H43" s="17"/>
      <c r="I43" s="17"/>
      <c r="J43" s="17"/>
      <c r="K43" s="17"/>
    </row>
    <row r="44" spans="1:11" ht="50.25" customHeight="1" x14ac:dyDescent="0.25">
      <c r="A44" s="59">
        <v>5</v>
      </c>
      <c r="B44" s="135" t="s">
        <v>278</v>
      </c>
      <c r="C44" s="17"/>
      <c r="D44" s="17"/>
      <c r="E44" s="17"/>
      <c r="F44" s="17">
        <f t="shared" si="7"/>
        <v>45932</v>
      </c>
      <c r="G44" s="17">
        <v>45932</v>
      </c>
      <c r="H44" s="17"/>
      <c r="I44" s="17"/>
      <c r="J44" s="17"/>
      <c r="K44" s="17"/>
    </row>
    <row r="45" spans="1:11" ht="47.25" x14ac:dyDescent="0.25">
      <c r="A45" s="59">
        <v>6</v>
      </c>
      <c r="B45" s="58" t="s">
        <v>603</v>
      </c>
      <c r="C45" s="17"/>
      <c r="D45" s="17"/>
      <c r="E45" s="17"/>
      <c r="F45" s="17">
        <f t="shared" si="7"/>
        <v>97867</v>
      </c>
      <c r="G45" s="17">
        <v>97867</v>
      </c>
      <c r="H45" s="17"/>
      <c r="I45" s="17"/>
      <c r="J45" s="17"/>
      <c r="K45" s="17"/>
    </row>
    <row r="46" spans="1:11" ht="20.25" customHeight="1" x14ac:dyDescent="0.25">
      <c r="A46" s="59">
        <v>7</v>
      </c>
      <c r="B46" s="58" t="s">
        <v>632</v>
      </c>
      <c r="C46" s="17"/>
      <c r="D46" s="17"/>
      <c r="E46" s="17"/>
      <c r="F46" s="17">
        <f t="shared" si="7"/>
        <v>15576</v>
      </c>
      <c r="G46" s="17"/>
      <c r="H46" s="17">
        <v>15576</v>
      </c>
      <c r="I46" s="17"/>
      <c r="J46" s="17"/>
      <c r="K46" s="17"/>
    </row>
    <row r="47" spans="1:11" ht="18.75" customHeight="1" x14ac:dyDescent="0.25">
      <c r="A47" s="59">
        <v>8</v>
      </c>
      <c r="B47" s="58" t="s">
        <v>280</v>
      </c>
      <c r="C47" s="17"/>
      <c r="D47" s="17"/>
      <c r="E47" s="17"/>
      <c r="F47" s="17">
        <f t="shared" si="7"/>
        <v>126801</v>
      </c>
      <c r="G47" s="17">
        <v>126801</v>
      </c>
      <c r="H47" s="17"/>
      <c r="I47" s="17"/>
      <c r="J47" s="17"/>
      <c r="K47" s="17"/>
    </row>
    <row r="48" spans="1:11" ht="68.25" customHeight="1" x14ac:dyDescent="0.25">
      <c r="A48" s="59">
        <v>9</v>
      </c>
      <c r="B48" s="58" t="s">
        <v>281</v>
      </c>
      <c r="C48" s="17"/>
      <c r="D48" s="17"/>
      <c r="E48" s="17"/>
      <c r="F48" s="17">
        <f>G48+H48</f>
        <v>791</v>
      </c>
      <c r="G48" s="17">
        <v>791</v>
      </c>
      <c r="H48" s="17"/>
      <c r="I48" s="17"/>
      <c r="J48" s="17"/>
      <c r="K48" s="17"/>
    </row>
    <row r="49" spans="1:11" ht="21" customHeight="1" x14ac:dyDescent="0.25">
      <c r="A49" s="59">
        <v>10</v>
      </c>
      <c r="B49" s="58" t="s">
        <v>604</v>
      </c>
      <c r="C49" s="17"/>
      <c r="D49" s="17"/>
      <c r="E49" s="17"/>
      <c r="F49" s="17">
        <f>G49+H49</f>
        <v>300</v>
      </c>
      <c r="G49" s="17">
        <v>300</v>
      </c>
      <c r="H49" s="17"/>
      <c r="I49" s="17"/>
      <c r="J49" s="17"/>
      <c r="K49" s="17"/>
    </row>
    <row r="50" spans="1:11" ht="18" customHeight="1" x14ac:dyDescent="0.25">
      <c r="A50" s="59">
        <v>11</v>
      </c>
      <c r="B50" s="58" t="s">
        <v>637</v>
      </c>
      <c r="C50" s="17"/>
      <c r="D50" s="17"/>
      <c r="E50" s="17"/>
      <c r="F50" s="17">
        <f t="shared" ref="F50:F92" si="8">G50+H50</f>
        <v>680</v>
      </c>
      <c r="G50" s="17">
        <v>680</v>
      </c>
      <c r="H50" s="17"/>
      <c r="I50" s="17"/>
      <c r="J50" s="17"/>
      <c r="K50" s="17"/>
    </row>
    <row r="51" spans="1:11" ht="19.5" customHeight="1" x14ac:dyDescent="0.25">
      <c r="A51" s="59">
        <v>12</v>
      </c>
      <c r="B51" s="61" t="s">
        <v>606</v>
      </c>
      <c r="C51" s="17"/>
      <c r="D51" s="17"/>
      <c r="E51" s="17"/>
      <c r="F51" s="17">
        <f t="shared" si="8"/>
        <v>82</v>
      </c>
      <c r="G51" s="17">
        <v>82</v>
      </c>
      <c r="H51" s="17"/>
      <c r="I51" s="17"/>
      <c r="J51" s="17"/>
      <c r="K51" s="17"/>
    </row>
    <row r="52" spans="1:11" ht="47.25" x14ac:dyDescent="0.25">
      <c r="A52" s="59">
        <v>13</v>
      </c>
      <c r="B52" s="61" t="s">
        <v>607</v>
      </c>
      <c r="C52" s="17"/>
      <c r="D52" s="17"/>
      <c r="E52" s="17"/>
      <c r="F52" s="17">
        <f t="shared" si="8"/>
        <v>909</v>
      </c>
      <c r="G52" s="17">
        <v>909</v>
      </c>
      <c r="H52" s="17"/>
      <c r="I52" s="17"/>
      <c r="J52" s="17"/>
      <c r="K52" s="17"/>
    </row>
    <row r="53" spans="1:11" ht="69.75" customHeight="1" x14ac:dyDescent="0.25">
      <c r="A53" s="59">
        <v>14</v>
      </c>
      <c r="B53" s="61" t="s">
        <v>608</v>
      </c>
      <c r="C53" s="17"/>
      <c r="D53" s="17"/>
      <c r="E53" s="17"/>
      <c r="F53" s="17">
        <f t="shared" si="8"/>
        <v>105</v>
      </c>
      <c r="G53" s="17">
        <v>105</v>
      </c>
      <c r="H53" s="17"/>
      <c r="I53" s="17"/>
      <c r="J53" s="17"/>
      <c r="K53" s="17"/>
    </row>
    <row r="54" spans="1:11" ht="18.75" customHeight="1" x14ac:dyDescent="0.25">
      <c r="A54" s="59">
        <v>15</v>
      </c>
      <c r="B54" s="58" t="s">
        <v>609</v>
      </c>
      <c r="C54" s="17"/>
      <c r="D54" s="17"/>
      <c r="E54" s="17"/>
      <c r="F54" s="17">
        <f t="shared" si="8"/>
        <v>5408</v>
      </c>
      <c r="G54" s="17"/>
      <c r="H54" s="17">
        <v>5408</v>
      </c>
      <c r="I54" s="17"/>
      <c r="J54" s="17"/>
      <c r="K54" s="17"/>
    </row>
    <row r="55" spans="1:11" ht="20.25" customHeight="1" x14ac:dyDescent="0.25">
      <c r="A55" s="59">
        <v>16</v>
      </c>
      <c r="B55" s="60" t="s">
        <v>610</v>
      </c>
      <c r="C55" s="17"/>
      <c r="D55" s="17"/>
      <c r="E55" s="17"/>
      <c r="F55" s="17">
        <f t="shared" si="8"/>
        <v>21337</v>
      </c>
      <c r="G55" s="17">
        <v>19376</v>
      </c>
      <c r="H55" s="17">
        <v>1961</v>
      </c>
      <c r="I55" s="17"/>
      <c r="J55" s="17"/>
      <c r="K55" s="17"/>
    </row>
    <row r="56" spans="1:11" ht="22.5" customHeight="1" x14ac:dyDescent="0.25">
      <c r="A56" s="59">
        <v>17</v>
      </c>
      <c r="B56" s="58" t="s">
        <v>611</v>
      </c>
      <c r="C56" s="17"/>
      <c r="D56" s="17"/>
      <c r="E56" s="17"/>
      <c r="F56" s="17">
        <f t="shared" si="8"/>
        <v>247876</v>
      </c>
      <c r="G56" s="17">
        <v>247876</v>
      </c>
      <c r="H56" s="17"/>
      <c r="I56" s="17"/>
      <c r="J56" s="17"/>
      <c r="K56" s="17"/>
    </row>
    <row r="57" spans="1:11" ht="57.75" customHeight="1" x14ac:dyDescent="0.25">
      <c r="A57" s="59">
        <v>18</v>
      </c>
      <c r="B57" s="58" t="s">
        <v>612</v>
      </c>
      <c r="C57" s="17"/>
      <c r="D57" s="17"/>
      <c r="E57" s="17"/>
      <c r="F57" s="17">
        <f t="shared" si="8"/>
        <v>2082</v>
      </c>
      <c r="G57" s="17">
        <v>2082</v>
      </c>
      <c r="H57" s="17"/>
      <c r="I57" s="17"/>
      <c r="J57" s="17"/>
      <c r="K57" s="17"/>
    </row>
    <row r="58" spans="1:11" ht="34.5" customHeight="1" x14ac:dyDescent="0.25">
      <c r="A58" s="59">
        <v>19</v>
      </c>
      <c r="B58" s="58" t="s">
        <v>279</v>
      </c>
      <c r="C58" s="17"/>
      <c r="D58" s="17"/>
      <c r="E58" s="17"/>
      <c r="F58" s="17">
        <f t="shared" si="8"/>
        <v>9278</v>
      </c>
      <c r="G58" s="17">
        <v>9278</v>
      </c>
      <c r="H58" s="17"/>
      <c r="I58" s="17"/>
      <c r="J58" s="17"/>
      <c r="K58" s="17"/>
    </row>
    <row r="59" spans="1:11" ht="33" customHeight="1" x14ac:dyDescent="0.25">
      <c r="A59" s="59">
        <v>20</v>
      </c>
      <c r="B59" s="60" t="s">
        <v>613</v>
      </c>
      <c r="C59" s="17"/>
      <c r="D59" s="17"/>
      <c r="E59" s="17"/>
      <c r="F59" s="17">
        <f t="shared" si="8"/>
        <v>1459</v>
      </c>
      <c r="G59" s="17">
        <v>1411</v>
      </c>
      <c r="H59" s="17">
        <v>48</v>
      </c>
      <c r="I59" s="17"/>
      <c r="J59" s="17"/>
      <c r="K59" s="17"/>
    </row>
    <row r="60" spans="1:11" ht="31.5" x14ac:dyDescent="0.25">
      <c r="A60" s="59">
        <v>21</v>
      </c>
      <c r="B60" s="58" t="s">
        <v>636</v>
      </c>
      <c r="C60" s="17"/>
      <c r="D60" s="17"/>
      <c r="E60" s="17"/>
      <c r="F60" s="17">
        <f t="shared" si="8"/>
        <v>7748</v>
      </c>
      <c r="G60" s="17">
        <v>7748</v>
      </c>
      <c r="H60" s="17"/>
      <c r="I60" s="17"/>
      <c r="J60" s="17"/>
      <c r="K60" s="17"/>
    </row>
    <row r="61" spans="1:11" ht="21.75" customHeight="1" x14ac:dyDescent="0.25">
      <c r="A61" s="59">
        <v>22</v>
      </c>
      <c r="B61" s="60" t="s">
        <v>614</v>
      </c>
      <c r="C61" s="17"/>
      <c r="D61" s="17"/>
      <c r="E61" s="17"/>
      <c r="F61" s="17">
        <f t="shared" si="8"/>
        <v>4760</v>
      </c>
      <c r="G61" s="17">
        <v>4760</v>
      </c>
      <c r="H61" s="17"/>
      <c r="I61" s="17"/>
      <c r="J61" s="17"/>
      <c r="K61" s="17"/>
    </row>
    <row r="62" spans="1:11" ht="19.5" customHeight="1" x14ac:dyDescent="0.25">
      <c r="A62" s="59">
        <v>23</v>
      </c>
      <c r="B62" s="58" t="s">
        <v>615</v>
      </c>
      <c r="C62" s="17"/>
      <c r="D62" s="17"/>
      <c r="E62" s="17"/>
      <c r="F62" s="17">
        <f t="shared" si="8"/>
        <v>33</v>
      </c>
      <c r="G62" s="17">
        <v>33</v>
      </c>
      <c r="H62" s="17"/>
      <c r="I62" s="17"/>
      <c r="J62" s="17"/>
      <c r="K62" s="17"/>
    </row>
    <row r="63" spans="1:11" ht="31.5" x14ac:dyDescent="0.25">
      <c r="A63" s="59">
        <v>24</v>
      </c>
      <c r="B63" s="58" t="s">
        <v>616</v>
      </c>
      <c r="C63" s="17"/>
      <c r="D63" s="17"/>
      <c r="E63" s="17"/>
      <c r="F63" s="17">
        <f t="shared" si="8"/>
        <v>827</v>
      </c>
      <c r="G63" s="17"/>
      <c r="H63" s="17">
        <v>827</v>
      </c>
      <c r="I63" s="17"/>
      <c r="J63" s="17"/>
      <c r="K63" s="17"/>
    </row>
    <row r="64" spans="1:11" ht="48.75" customHeight="1" x14ac:dyDescent="0.25">
      <c r="A64" s="59">
        <v>25</v>
      </c>
      <c r="B64" s="58" t="s">
        <v>617</v>
      </c>
      <c r="C64" s="17"/>
      <c r="D64" s="17"/>
      <c r="E64" s="17"/>
      <c r="F64" s="17">
        <f t="shared" si="8"/>
        <v>4250</v>
      </c>
      <c r="G64" s="17"/>
      <c r="H64" s="17">
        <v>4250</v>
      </c>
      <c r="I64" s="17"/>
      <c r="J64" s="17"/>
      <c r="K64" s="17"/>
    </row>
    <row r="65" spans="1:11" ht="48.75" customHeight="1" x14ac:dyDescent="0.25">
      <c r="A65" s="59">
        <v>26</v>
      </c>
      <c r="B65" s="58" t="s">
        <v>618</v>
      </c>
      <c r="C65" s="17"/>
      <c r="D65" s="17"/>
      <c r="E65" s="17"/>
      <c r="F65" s="17">
        <f t="shared" si="8"/>
        <v>19817</v>
      </c>
      <c r="G65" s="17">
        <v>19817</v>
      </c>
      <c r="H65" s="17"/>
      <c r="I65" s="17"/>
      <c r="J65" s="17"/>
      <c r="K65" s="17"/>
    </row>
    <row r="66" spans="1:11" ht="47.25" x14ac:dyDescent="0.25">
      <c r="A66" s="59">
        <v>27</v>
      </c>
      <c r="B66" s="58" t="s">
        <v>619</v>
      </c>
      <c r="C66" s="17"/>
      <c r="D66" s="17"/>
      <c r="E66" s="17"/>
      <c r="F66" s="17">
        <f t="shared" si="8"/>
        <v>8978</v>
      </c>
      <c r="G66" s="17">
        <v>8978</v>
      </c>
      <c r="H66" s="17"/>
      <c r="I66" s="17"/>
      <c r="J66" s="17"/>
      <c r="K66" s="17"/>
    </row>
    <row r="67" spans="1:11" ht="61.5" customHeight="1" x14ac:dyDescent="0.25">
      <c r="A67" s="59">
        <v>28</v>
      </c>
      <c r="B67" s="58" t="s">
        <v>620</v>
      </c>
      <c r="C67" s="17"/>
      <c r="D67" s="17"/>
      <c r="E67" s="17"/>
      <c r="F67" s="17">
        <f t="shared" si="8"/>
        <v>564</v>
      </c>
      <c r="G67" s="17">
        <v>564</v>
      </c>
      <c r="H67" s="17"/>
      <c r="I67" s="17"/>
      <c r="J67" s="17"/>
      <c r="K67" s="17"/>
    </row>
    <row r="68" spans="1:11" ht="33.75" customHeight="1" x14ac:dyDescent="0.25">
      <c r="A68" s="59">
        <v>29</v>
      </c>
      <c r="B68" s="58" t="s">
        <v>634</v>
      </c>
      <c r="C68" s="17"/>
      <c r="D68" s="17"/>
      <c r="E68" s="17"/>
      <c r="F68" s="17">
        <f t="shared" si="8"/>
        <v>14812</v>
      </c>
      <c r="G68" s="17">
        <v>14812</v>
      </c>
      <c r="H68" s="17"/>
      <c r="I68" s="17"/>
      <c r="J68" s="17"/>
      <c r="K68" s="17"/>
    </row>
    <row r="69" spans="1:11" ht="18.75" customHeight="1" x14ac:dyDescent="0.25">
      <c r="A69" s="59">
        <v>30</v>
      </c>
      <c r="B69" s="58" t="s">
        <v>289</v>
      </c>
      <c r="C69" s="17"/>
      <c r="D69" s="17"/>
      <c r="E69" s="17"/>
      <c r="F69" s="17">
        <f t="shared" si="8"/>
        <v>344</v>
      </c>
      <c r="G69" s="17">
        <v>160</v>
      </c>
      <c r="H69" s="17">
        <v>184</v>
      </c>
      <c r="I69" s="17"/>
      <c r="J69" s="17"/>
      <c r="K69" s="17"/>
    </row>
    <row r="70" spans="1:11" ht="47.25" x14ac:dyDescent="0.25">
      <c r="A70" s="59">
        <v>31</v>
      </c>
      <c r="B70" s="58" t="s">
        <v>621</v>
      </c>
      <c r="C70" s="17"/>
      <c r="D70" s="17"/>
      <c r="E70" s="17"/>
      <c r="F70" s="17">
        <f t="shared" si="8"/>
        <v>14957</v>
      </c>
      <c r="G70" s="17"/>
      <c r="H70" s="17">
        <v>14957</v>
      </c>
      <c r="I70" s="17"/>
      <c r="J70" s="17"/>
      <c r="K70" s="17"/>
    </row>
    <row r="71" spans="1:11" ht="19.5" customHeight="1" x14ac:dyDescent="0.25">
      <c r="A71" s="59">
        <v>32</v>
      </c>
      <c r="B71" s="58" t="s">
        <v>622</v>
      </c>
      <c r="C71" s="17"/>
      <c r="D71" s="17"/>
      <c r="E71" s="17"/>
      <c r="F71" s="17">
        <f t="shared" si="8"/>
        <v>234</v>
      </c>
      <c r="G71" s="17">
        <v>234</v>
      </c>
      <c r="H71" s="17"/>
      <c r="I71" s="17"/>
      <c r="J71" s="17"/>
      <c r="K71" s="17"/>
    </row>
    <row r="72" spans="1:11" ht="21" customHeight="1" x14ac:dyDescent="0.25">
      <c r="A72" s="59">
        <v>33</v>
      </c>
      <c r="B72" s="58" t="s">
        <v>623</v>
      </c>
      <c r="C72" s="17"/>
      <c r="D72" s="17"/>
      <c r="E72" s="17"/>
      <c r="F72" s="17">
        <f t="shared" si="8"/>
        <v>11945</v>
      </c>
      <c r="G72" s="17">
        <v>3933</v>
      </c>
      <c r="H72" s="17">
        <v>8012</v>
      </c>
      <c r="I72" s="17"/>
      <c r="J72" s="17"/>
      <c r="K72" s="17"/>
    </row>
    <row r="73" spans="1:11" ht="49.5" customHeight="1" x14ac:dyDescent="0.25">
      <c r="A73" s="59">
        <v>34</v>
      </c>
      <c r="B73" s="58" t="s">
        <v>624</v>
      </c>
      <c r="C73" s="17"/>
      <c r="D73" s="17"/>
      <c r="E73" s="17"/>
      <c r="F73" s="17">
        <f t="shared" si="8"/>
        <v>9320</v>
      </c>
      <c r="G73" s="17"/>
      <c r="H73" s="17">
        <v>9320</v>
      </c>
      <c r="I73" s="17"/>
      <c r="J73" s="17"/>
      <c r="K73" s="17"/>
    </row>
    <row r="74" spans="1:11" ht="47.25" x14ac:dyDescent="0.25">
      <c r="A74" s="59">
        <v>35</v>
      </c>
      <c r="B74" s="58" t="s">
        <v>291</v>
      </c>
      <c r="C74" s="17"/>
      <c r="D74" s="17"/>
      <c r="E74" s="17"/>
      <c r="F74" s="17">
        <f t="shared" si="8"/>
        <v>23</v>
      </c>
      <c r="G74" s="17">
        <v>23</v>
      </c>
      <c r="H74" s="17"/>
      <c r="I74" s="17"/>
      <c r="J74" s="17"/>
      <c r="K74" s="17"/>
    </row>
    <row r="75" spans="1:11" ht="36" customHeight="1" x14ac:dyDescent="0.25">
      <c r="A75" s="59">
        <v>36</v>
      </c>
      <c r="B75" s="58" t="s">
        <v>625</v>
      </c>
      <c r="C75" s="17"/>
      <c r="D75" s="17"/>
      <c r="E75" s="17"/>
      <c r="F75" s="17">
        <f t="shared" si="8"/>
        <v>206</v>
      </c>
      <c r="G75" s="17">
        <v>206</v>
      </c>
      <c r="H75" s="17"/>
      <c r="I75" s="17"/>
      <c r="J75" s="17"/>
      <c r="K75" s="17"/>
    </row>
    <row r="76" spans="1:11" ht="39" customHeight="1" x14ac:dyDescent="0.25">
      <c r="A76" s="59">
        <v>37</v>
      </c>
      <c r="B76" s="58" t="s">
        <v>626</v>
      </c>
      <c r="C76" s="17"/>
      <c r="D76" s="17"/>
      <c r="E76" s="17"/>
      <c r="F76" s="17">
        <f t="shared" si="8"/>
        <v>36</v>
      </c>
      <c r="G76" s="17">
        <v>36</v>
      </c>
      <c r="H76" s="17"/>
      <c r="I76" s="17"/>
      <c r="J76" s="17"/>
      <c r="K76" s="17"/>
    </row>
    <row r="77" spans="1:11" ht="49.5" customHeight="1" x14ac:dyDescent="0.25">
      <c r="A77" s="59">
        <v>38</v>
      </c>
      <c r="B77" s="58" t="s">
        <v>290</v>
      </c>
      <c r="C77" s="17"/>
      <c r="D77" s="17"/>
      <c r="E77" s="17"/>
      <c r="F77" s="17">
        <f t="shared" si="8"/>
        <v>3195</v>
      </c>
      <c r="G77" s="17">
        <f>722+2473</f>
        <v>3195</v>
      </c>
      <c r="H77" s="17"/>
      <c r="I77" s="17"/>
      <c r="J77" s="17"/>
      <c r="K77" s="17"/>
    </row>
    <row r="78" spans="1:11" ht="16.5" customHeight="1" x14ac:dyDescent="0.25">
      <c r="A78" s="59">
        <v>39</v>
      </c>
      <c r="B78" s="58" t="s">
        <v>627</v>
      </c>
      <c r="C78" s="17"/>
      <c r="D78" s="17"/>
      <c r="E78" s="17"/>
      <c r="F78" s="17">
        <f t="shared" si="8"/>
        <v>76</v>
      </c>
      <c r="G78" s="17"/>
      <c r="H78" s="17">
        <v>76</v>
      </c>
      <c r="I78" s="17"/>
      <c r="J78" s="17"/>
      <c r="K78" s="17"/>
    </row>
    <row r="79" spans="1:11" ht="17.25" customHeight="1" x14ac:dyDescent="0.25">
      <c r="A79" s="59">
        <v>40</v>
      </c>
      <c r="B79" s="58" t="s">
        <v>628</v>
      </c>
      <c r="C79" s="17"/>
      <c r="D79" s="17"/>
      <c r="E79" s="17"/>
      <c r="F79" s="17">
        <f t="shared" si="8"/>
        <v>12</v>
      </c>
      <c r="G79" s="17"/>
      <c r="H79" s="17">
        <v>12</v>
      </c>
      <c r="I79" s="17"/>
      <c r="J79" s="17"/>
      <c r="K79" s="17"/>
    </row>
    <row r="80" spans="1:11" ht="18.75" customHeight="1" x14ac:dyDescent="0.25">
      <c r="A80" s="59">
        <v>41</v>
      </c>
      <c r="B80" s="58" t="s">
        <v>635</v>
      </c>
      <c r="C80" s="17"/>
      <c r="D80" s="17"/>
      <c r="E80" s="17"/>
      <c r="F80" s="17">
        <f t="shared" si="8"/>
        <v>42</v>
      </c>
      <c r="G80" s="17">
        <v>42</v>
      </c>
      <c r="H80" s="17"/>
      <c r="I80" s="17"/>
      <c r="J80" s="17"/>
      <c r="K80" s="17"/>
    </row>
    <row r="81" spans="1:11" ht="15.75" x14ac:dyDescent="0.25">
      <c r="A81" s="59">
        <v>42</v>
      </c>
      <c r="B81" s="58" t="s">
        <v>629</v>
      </c>
      <c r="C81" s="17"/>
      <c r="D81" s="17"/>
      <c r="E81" s="17"/>
      <c r="F81" s="17">
        <f t="shared" si="8"/>
        <v>4521</v>
      </c>
      <c r="G81" s="17">
        <v>4521</v>
      </c>
      <c r="H81" s="17"/>
      <c r="I81" s="17"/>
      <c r="J81" s="17"/>
      <c r="K81" s="17"/>
    </row>
    <row r="82" spans="1:11" ht="15.75" x14ac:dyDescent="0.25">
      <c r="A82" s="59">
        <v>43</v>
      </c>
      <c r="B82" s="58" t="s">
        <v>283</v>
      </c>
      <c r="C82" s="17"/>
      <c r="D82" s="17"/>
      <c r="E82" s="17"/>
      <c r="F82" s="17">
        <f t="shared" si="8"/>
        <v>1000</v>
      </c>
      <c r="G82" s="17">
        <v>1000</v>
      </c>
      <c r="H82" s="17"/>
      <c r="I82" s="17"/>
      <c r="J82" s="17"/>
      <c r="K82" s="17"/>
    </row>
    <row r="83" spans="1:11" ht="15.75" x14ac:dyDescent="0.25">
      <c r="A83" s="59">
        <v>44</v>
      </c>
      <c r="B83" s="61" t="s">
        <v>282</v>
      </c>
      <c r="C83" s="17"/>
      <c r="D83" s="17"/>
      <c r="E83" s="17"/>
      <c r="F83" s="17">
        <f t="shared" si="8"/>
        <v>6950</v>
      </c>
      <c r="G83" s="17">
        <v>6950</v>
      </c>
      <c r="H83" s="17"/>
      <c r="I83" s="17"/>
      <c r="J83" s="17"/>
      <c r="K83" s="17"/>
    </row>
    <row r="84" spans="1:11" ht="15.75" x14ac:dyDescent="0.25">
      <c r="A84" s="59">
        <v>45</v>
      </c>
      <c r="B84" s="58" t="s">
        <v>284</v>
      </c>
      <c r="C84" s="17"/>
      <c r="D84" s="17"/>
      <c r="E84" s="17"/>
      <c r="F84" s="17">
        <f t="shared" si="8"/>
        <v>9860</v>
      </c>
      <c r="G84" s="17">
        <v>9860</v>
      </c>
      <c r="H84" s="17"/>
      <c r="I84" s="17"/>
      <c r="J84" s="17"/>
      <c r="K84" s="17"/>
    </row>
    <row r="85" spans="1:11" ht="22.5" customHeight="1" x14ac:dyDescent="0.25">
      <c r="A85" s="59">
        <v>46</v>
      </c>
      <c r="B85" s="58" t="s">
        <v>285</v>
      </c>
      <c r="C85" s="17"/>
      <c r="D85" s="17"/>
      <c r="E85" s="17"/>
      <c r="F85" s="17">
        <f t="shared" si="8"/>
        <v>127</v>
      </c>
      <c r="G85" s="17">
        <v>127</v>
      </c>
      <c r="H85" s="17"/>
      <c r="I85" s="17"/>
      <c r="J85" s="17"/>
      <c r="K85" s="17"/>
    </row>
    <row r="86" spans="1:11" ht="21.75" customHeight="1" x14ac:dyDescent="0.25">
      <c r="A86" s="59">
        <v>47</v>
      </c>
      <c r="B86" s="60" t="s">
        <v>286</v>
      </c>
      <c r="C86" s="17"/>
      <c r="D86" s="17"/>
      <c r="E86" s="17"/>
      <c r="F86" s="17">
        <f t="shared" si="8"/>
        <v>2195</v>
      </c>
      <c r="G86" s="17">
        <v>2195</v>
      </c>
      <c r="H86" s="17"/>
      <c r="I86" s="17"/>
      <c r="J86" s="17"/>
      <c r="K86" s="17"/>
    </row>
    <row r="87" spans="1:11" ht="33.75" customHeight="1" x14ac:dyDescent="0.25">
      <c r="A87" s="59">
        <v>48</v>
      </c>
      <c r="B87" s="58" t="s">
        <v>630</v>
      </c>
      <c r="C87" s="17"/>
      <c r="D87" s="17"/>
      <c r="E87" s="17"/>
      <c r="F87" s="17">
        <f t="shared" si="8"/>
        <v>1965</v>
      </c>
      <c r="G87" s="17">
        <v>1965</v>
      </c>
      <c r="H87" s="17"/>
      <c r="I87" s="17"/>
      <c r="J87" s="17"/>
      <c r="K87" s="17"/>
    </row>
    <row r="88" spans="1:11" ht="21.75" customHeight="1" x14ac:dyDescent="0.25">
      <c r="A88" s="59">
        <v>49</v>
      </c>
      <c r="B88" s="58" t="s">
        <v>633</v>
      </c>
      <c r="C88" s="17"/>
      <c r="D88" s="17"/>
      <c r="E88" s="17"/>
      <c r="F88" s="17">
        <f t="shared" si="8"/>
        <v>3126</v>
      </c>
      <c r="G88" s="17">
        <v>3126</v>
      </c>
      <c r="H88" s="17"/>
      <c r="I88" s="17"/>
      <c r="J88" s="17"/>
      <c r="K88" s="17"/>
    </row>
    <row r="89" spans="1:11" ht="23.25" customHeight="1" x14ac:dyDescent="0.25">
      <c r="A89" s="59">
        <v>50</v>
      </c>
      <c r="B89" s="58" t="s">
        <v>631</v>
      </c>
      <c r="C89" s="17"/>
      <c r="D89" s="17"/>
      <c r="E89" s="17"/>
      <c r="F89" s="17">
        <f t="shared" si="8"/>
        <v>932</v>
      </c>
      <c r="G89" s="17">
        <v>932</v>
      </c>
      <c r="H89" s="17"/>
      <c r="I89" s="17"/>
      <c r="J89" s="17"/>
      <c r="K89" s="17"/>
    </row>
    <row r="90" spans="1:11" ht="21" customHeight="1" x14ac:dyDescent="0.25">
      <c r="A90" s="59">
        <v>51</v>
      </c>
      <c r="B90" s="58" t="s">
        <v>288</v>
      </c>
      <c r="C90" s="17"/>
      <c r="D90" s="17"/>
      <c r="E90" s="17"/>
      <c r="F90" s="17">
        <f t="shared" si="8"/>
        <v>1925</v>
      </c>
      <c r="G90" s="17">
        <v>1925</v>
      </c>
      <c r="H90" s="17"/>
      <c r="I90" s="17"/>
      <c r="J90" s="17"/>
      <c r="K90" s="17"/>
    </row>
    <row r="91" spans="1:11" ht="22.5" customHeight="1" x14ac:dyDescent="0.25">
      <c r="A91" s="59">
        <v>52</v>
      </c>
      <c r="B91" s="58" t="s">
        <v>287</v>
      </c>
      <c r="C91" s="17"/>
      <c r="D91" s="17"/>
      <c r="E91" s="17"/>
      <c r="F91" s="17">
        <f t="shared" si="8"/>
        <v>2200</v>
      </c>
      <c r="G91" s="17">
        <v>2200</v>
      </c>
      <c r="H91" s="17"/>
      <c r="I91" s="17"/>
      <c r="J91" s="17"/>
      <c r="K91" s="17"/>
    </row>
    <row r="92" spans="1:11" ht="23.25" customHeight="1" x14ac:dyDescent="0.25">
      <c r="A92" s="59">
        <v>53</v>
      </c>
      <c r="B92" s="58" t="s">
        <v>292</v>
      </c>
      <c r="C92" s="17"/>
      <c r="D92" s="17"/>
      <c r="E92" s="17"/>
      <c r="F92" s="17">
        <f t="shared" si="8"/>
        <v>86259</v>
      </c>
      <c r="G92" s="17">
        <v>86259</v>
      </c>
      <c r="H92" s="17"/>
      <c r="I92" s="17"/>
      <c r="J92" s="17"/>
      <c r="K92" s="17"/>
    </row>
    <row r="93" spans="1:11" ht="22.5" customHeight="1" x14ac:dyDescent="0.25">
      <c r="A93" s="5" t="s">
        <v>10</v>
      </c>
      <c r="B93" s="6" t="s">
        <v>97</v>
      </c>
      <c r="C93" s="17"/>
      <c r="D93" s="17"/>
      <c r="E93" s="17"/>
      <c r="F93" s="18">
        <f>G93+H93</f>
        <v>3879190</v>
      </c>
      <c r="G93" s="18">
        <v>2957467</v>
      </c>
      <c r="H93" s="18">
        <f>864386+57337</f>
        <v>921723</v>
      </c>
      <c r="I93" s="17"/>
      <c r="J93" s="17"/>
      <c r="K93" s="17"/>
    </row>
    <row r="94" spans="1:11" ht="49.5" customHeight="1" x14ac:dyDescent="0.25">
      <c r="A94" s="170"/>
      <c r="B94" s="170"/>
      <c r="C94" s="170"/>
      <c r="D94" s="170"/>
      <c r="E94" s="170"/>
      <c r="F94" s="170"/>
      <c r="G94" s="170"/>
      <c r="H94" s="170"/>
      <c r="I94" s="170"/>
      <c r="J94" s="170"/>
      <c r="K94" s="170"/>
    </row>
  </sheetData>
  <mergeCells count="10">
    <mergeCell ref="I7:K7"/>
    <mergeCell ref="A3:K3"/>
    <mergeCell ref="A4:K4"/>
    <mergeCell ref="A94:K94"/>
    <mergeCell ref="A7:A8"/>
    <mergeCell ref="B7:B8"/>
    <mergeCell ref="C7:C8"/>
    <mergeCell ref="D7:E7"/>
    <mergeCell ref="F7:F8"/>
    <mergeCell ref="G7:H7"/>
  </mergeCells>
  <pageMargins left="0.27" right="0.21" top="0.39" bottom="0.44" header="0.196850393700787" footer="0.2"/>
  <pageSetup paperSize="9" scale="95" orientation="landscape" verticalDpi="0" r:id="rId1"/>
  <headerFooter>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85"/>
  <sheetViews>
    <sheetView zoomScale="85" zoomScaleNormal="85" workbookViewId="0">
      <pane ySplit="8" topLeftCell="A9" activePane="bottomLeft" state="frozen"/>
      <selection activeCell="B1" sqref="B1"/>
      <selection pane="bottomLeft" activeCell="J6" sqref="J6:J7"/>
    </sheetView>
  </sheetViews>
  <sheetFormatPr defaultColWidth="9" defaultRowHeight="11.25" x14ac:dyDescent="0.2"/>
  <cols>
    <col min="1" max="1" width="3.42578125" style="150" customWidth="1"/>
    <col min="2" max="2" width="28.28515625" style="150" customWidth="1"/>
    <col min="3" max="3" width="9" style="150" customWidth="1"/>
    <col min="4" max="4" width="9.28515625" style="150" customWidth="1"/>
    <col min="5" max="5" width="8.5703125" style="150" customWidth="1"/>
    <col min="6" max="6" width="7.5703125" style="150" customWidth="1"/>
    <col min="7" max="7" width="7.7109375" style="150" customWidth="1"/>
    <col min="8" max="8" width="7.85546875" style="150" customWidth="1"/>
    <col min="9" max="9" width="9.140625" style="150" customWidth="1"/>
    <col min="10" max="10" width="8.7109375" style="150" customWidth="1"/>
    <col min="11" max="11" width="8" style="150" customWidth="1"/>
    <col min="12" max="13" width="6.7109375" style="150" customWidth="1"/>
    <col min="14" max="14" width="7.42578125" style="150" customWidth="1"/>
    <col min="15" max="15" width="6.42578125" style="150" customWidth="1"/>
    <col min="16" max="16" width="7" style="150" customWidth="1"/>
    <col min="17" max="17" width="7.85546875" style="150" customWidth="1"/>
    <col min="18" max="18" width="8.140625" style="150" customWidth="1"/>
    <col min="19" max="19" width="7.5703125" style="150" customWidth="1"/>
    <col min="20" max="20" width="6.5703125" style="150" customWidth="1"/>
    <col min="21" max="22" width="6.42578125" style="150" customWidth="1"/>
    <col min="23" max="23" width="6.140625" style="150" customWidth="1"/>
    <col min="24" max="16384" width="9" style="150"/>
  </cols>
  <sheetData>
    <row r="1" spans="1:23" x14ac:dyDescent="0.2">
      <c r="W1" s="151" t="s">
        <v>648</v>
      </c>
    </row>
    <row r="2" spans="1:23" x14ac:dyDescent="0.2">
      <c r="A2" s="184" t="s">
        <v>579</v>
      </c>
      <c r="B2" s="184"/>
      <c r="C2" s="184"/>
      <c r="D2" s="184"/>
      <c r="E2" s="184"/>
      <c r="F2" s="184"/>
      <c r="G2" s="184"/>
      <c r="H2" s="184"/>
      <c r="I2" s="184"/>
      <c r="J2" s="184"/>
      <c r="K2" s="184"/>
      <c r="L2" s="184"/>
      <c r="M2" s="184"/>
      <c r="N2" s="184"/>
      <c r="O2" s="184"/>
      <c r="P2" s="184"/>
      <c r="Q2" s="184"/>
      <c r="R2" s="184"/>
      <c r="S2" s="184"/>
      <c r="T2" s="184"/>
      <c r="U2" s="184"/>
      <c r="V2" s="184"/>
      <c r="W2" s="184"/>
    </row>
    <row r="3" spans="1:23" x14ac:dyDescent="0.2">
      <c r="A3" s="185" t="s">
        <v>659</v>
      </c>
      <c r="B3" s="185"/>
      <c r="C3" s="185"/>
      <c r="D3" s="185"/>
      <c r="E3" s="185"/>
      <c r="F3" s="185"/>
      <c r="G3" s="185"/>
      <c r="H3" s="185"/>
      <c r="I3" s="185"/>
      <c r="J3" s="185"/>
      <c r="K3" s="185"/>
      <c r="L3" s="185"/>
      <c r="M3" s="185"/>
      <c r="N3" s="185"/>
      <c r="O3" s="185"/>
      <c r="P3" s="185"/>
      <c r="Q3" s="185"/>
      <c r="R3" s="185"/>
      <c r="S3" s="185"/>
      <c r="T3" s="185"/>
      <c r="U3" s="185"/>
      <c r="V3" s="185"/>
      <c r="W3" s="185"/>
    </row>
    <row r="4" spans="1:23" x14ac:dyDescent="0.2">
      <c r="W4" s="101" t="s">
        <v>5</v>
      </c>
    </row>
    <row r="5" spans="1:23" ht="17.25" customHeight="1" x14ac:dyDescent="0.2">
      <c r="A5" s="182" t="s">
        <v>0</v>
      </c>
      <c r="B5" s="182" t="s">
        <v>28</v>
      </c>
      <c r="C5" s="179" t="s">
        <v>124</v>
      </c>
      <c r="D5" s="180"/>
      <c r="E5" s="180"/>
      <c r="F5" s="180"/>
      <c r="G5" s="180"/>
      <c r="H5" s="181"/>
      <c r="I5" s="182" t="s">
        <v>134</v>
      </c>
      <c r="J5" s="182"/>
      <c r="K5" s="182"/>
      <c r="L5" s="182"/>
      <c r="M5" s="182"/>
      <c r="N5" s="182"/>
      <c r="O5" s="182"/>
      <c r="P5" s="182"/>
      <c r="Q5" s="182"/>
      <c r="R5" s="177" t="s">
        <v>295</v>
      </c>
      <c r="S5" s="177" t="s">
        <v>298</v>
      </c>
      <c r="T5" s="177" t="s">
        <v>177</v>
      </c>
      <c r="U5" s="182" t="s">
        <v>68</v>
      </c>
      <c r="V5" s="182"/>
      <c r="W5" s="182"/>
    </row>
    <row r="6" spans="1:23" ht="20.25" customHeight="1" x14ac:dyDescent="0.2">
      <c r="A6" s="182"/>
      <c r="B6" s="182"/>
      <c r="C6" s="182" t="s">
        <v>24</v>
      </c>
      <c r="D6" s="182" t="s">
        <v>576</v>
      </c>
      <c r="E6" s="182" t="s">
        <v>577</v>
      </c>
      <c r="F6" s="177" t="s">
        <v>297</v>
      </c>
      <c r="G6" s="182" t="s">
        <v>295</v>
      </c>
      <c r="H6" s="177" t="s">
        <v>298</v>
      </c>
      <c r="I6" s="182" t="s">
        <v>24</v>
      </c>
      <c r="J6" s="182" t="s">
        <v>576</v>
      </c>
      <c r="K6" s="182" t="s">
        <v>577</v>
      </c>
      <c r="L6" s="182" t="s">
        <v>248</v>
      </c>
      <c r="M6" s="177" t="s">
        <v>37</v>
      </c>
      <c r="N6" s="182" t="s">
        <v>118</v>
      </c>
      <c r="O6" s="182"/>
      <c r="P6" s="182"/>
      <c r="Q6" s="182" t="s">
        <v>119</v>
      </c>
      <c r="R6" s="183"/>
      <c r="S6" s="183"/>
      <c r="T6" s="183"/>
      <c r="U6" s="182" t="s">
        <v>24</v>
      </c>
      <c r="V6" s="182" t="s">
        <v>66</v>
      </c>
      <c r="W6" s="182" t="s">
        <v>15</v>
      </c>
    </row>
    <row r="7" spans="1:23" ht="109.5" customHeight="1" x14ac:dyDescent="0.2">
      <c r="A7" s="182"/>
      <c r="B7" s="182"/>
      <c r="C7" s="182"/>
      <c r="D7" s="182"/>
      <c r="E7" s="182"/>
      <c r="F7" s="178"/>
      <c r="G7" s="182"/>
      <c r="H7" s="178"/>
      <c r="I7" s="182"/>
      <c r="J7" s="182"/>
      <c r="K7" s="182"/>
      <c r="L7" s="182"/>
      <c r="M7" s="178"/>
      <c r="N7" s="148" t="s">
        <v>24</v>
      </c>
      <c r="O7" s="148" t="s">
        <v>66</v>
      </c>
      <c r="P7" s="148" t="s">
        <v>15</v>
      </c>
      <c r="Q7" s="182"/>
      <c r="R7" s="178"/>
      <c r="S7" s="178"/>
      <c r="T7" s="178"/>
      <c r="U7" s="182"/>
      <c r="V7" s="182"/>
      <c r="W7" s="182"/>
    </row>
    <row r="8" spans="1:23" ht="12" customHeight="1" x14ac:dyDescent="0.2">
      <c r="A8" s="148" t="s">
        <v>2</v>
      </c>
      <c r="B8" s="148" t="s">
        <v>3</v>
      </c>
      <c r="C8" s="148">
        <v>1</v>
      </c>
      <c r="D8" s="148">
        <v>2</v>
      </c>
      <c r="E8" s="148">
        <v>3</v>
      </c>
      <c r="F8" s="148">
        <v>4</v>
      </c>
      <c r="G8" s="148">
        <v>5</v>
      </c>
      <c r="H8" s="148">
        <v>6</v>
      </c>
      <c r="I8" s="148">
        <v>7</v>
      </c>
      <c r="J8" s="148">
        <v>8</v>
      </c>
      <c r="K8" s="148">
        <v>9</v>
      </c>
      <c r="L8" s="148">
        <v>10</v>
      </c>
      <c r="M8" s="148">
        <v>11</v>
      </c>
      <c r="N8" s="148">
        <v>12</v>
      </c>
      <c r="O8" s="148">
        <v>13</v>
      </c>
      <c r="P8" s="148">
        <v>14</v>
      </c>
      <c r="Q8" s="148">
        <v>15</v>
      </c>
      <c r="R8" s="148">
        <v>16</v>
      </c>
      <c r="S8" s="148">
        <v>17</v>
      </c>
      <c r="T8" s="148">
        <v>18</v>
      </c>
      <c r="U8" s="148" t="s">
        <v>638</v>
      </c>
      <c r="V8" s="148" t="s">
        <v>639</v>
      </c>
      <c r="W8" s="148" t="s">
        <v>640</v>
      </c>
    </row>
    <row r="9" spans="1:23" ht="14.25" customHeight="1" x14ac:dyDescent="0.2">
      <c r="A9" s="152"/>
      <c r="B9" s="152" t="s">
        <v>25</v>
      </c>
      <c r="C9" s="153">
        <f>C10+C65+C66+C68+C64</f>
        <v>7896906</v>
      </c>
      <c r="D9" s="153">
        <f>D10</f>
        <v>1756180</v>
      </c>
      <c r="E9" s="94">
        <f>E10+E64+E65+E66</f>
        <v>2432807</v>
      </c>
      <c r="F9" s="94">
        <f>F10</f>
        <v>101917</v>
      </c>
      <c r="G9" s="94">
        <f>G10</f>
        <v>1147360</v>
      </c>
      <c r="H9" s="94">
        <v>2458642</v>
      </c>
      <c r="I9" s="94">
        <f>I10+I64+I65+I68+I69+I70</f>
        <v>10637957</v>
      </c>
      <c r="J9" s="94">
        <f>J10</f>
        <v>1709928</v>
      </c>
      <c r="K9" s="94">
        <f>K10+K68</f>
        <v>2124744</v>
      </c>
      <c r="L9" s="94">
        <f>L64</f>
        <v>988</v>
      </c>
      <c r="M9" s="94">
        <f>M65</f>
        <v>1000</v>
      </c>
      <c r="N9" s="94">
        <f>O9+P9</f>
        <v>13015</v>
      </c>
      <c r="O9" s="94">
        <v>73</v>
      </c>
      <c r="P9" s="94">
        <f>P10</f>
        <v>12942</v>
      </c>
      <c r="Q9" s="94">
        <f>Q69</f>
        <v>2957467</v>
      </c>
      <c r="R9" s="94">
        <v>896525</v>
      </c>
      <c r="S9" s="94">
        <v>2933208</v>
      </c>
      <c r="T9" s="94">
        <v>1082</v>
      </c>
      <c r="U9" s="95">
        <f>I9/C9*100</f>
        <v>134.71044229220911</v>
      </c>
      <c r="V9" s="95">
        <f>J9/D9*100</f>
        <v>97.3663291917685</v>
      </c>
      <c r="W9" s="95">
        <f>K9/E9*100</f>
        <v>87.33713771787076</v>
      </c>
    </row>
    <row r="10" spans="1:23" ht="13.5" customHeight="1" x14ac:dyDescent="0.2">
      <c r="A10" s="148" t="s">
        <v>11</v>
      </c>
      <c r="B10" s="152" t="s">
        <v>120</v>
      </c>
      <c r="C10" s="153">
        <f>D10+E10+G10+F10</f>
        <v>5356321</v>
      </c>
      <c r="D10" s="153">
        <v>1756180</v>
      </c>
      <c r="E10" s="94">
        <f>SUM(E11:E63)-4</f>
        <v>2350864</v>
      </c>
      <c r="F10" s="94">
        <v>101917</v>
      </c>
      <c r="G10" s="94">
        <v>1147360</v>
      </c>
      <c r="H10" s="94"/>
      <c r="I10" s="94">
        <f>J10+K10+N10+R10</f>
        <v>4744212</v>
      </c>
      <c r="J10" s="94">
        <f>SUM(J11:J63)</f>
        <v>1709928</v>
      </c>
      <c r="K10" s="94">
        <f>SUM(K11:K63)</f>
        <v>2124744</v>
      </c>
      <c r="L10" s="94"/>
      <c r="M10" s="94"/>
      <c r="N10" s="94">
        <f>O10+P10</f>
        <v>13015</v>
      </c>
      <c r="O10" s="94">
        <v>73</v>
      </c>
      <c r="P10" s="94">
        <f>P16+P19+P22+P24+P27+P29+P30+P31+P44+P61+P62</f>
        <v>12942</v>
      </c>
      <c r="Q10" s="94"/>
      <c r="R10" s="94">
        <v>896525</v>
      </c>
      <c r="S10" s="96"/>
      <c r="T10" s="96"/>
      <c r="U10" s="95">
        <f>I10/C10*100</f>
        <v>88.57221215830792</v>
      </c>
      <c r="V10" s="95">
        <f>J10/D10*100</f>
        <v>97.3663291917685</v>
      </c>
      <c r="W10" s="95">
        <f t="shared" ref="W10" si="0">K10/E10*100</f>
        <v>90.381408707607079</v>
      </c>
    </row>
    <row r="11" spans="1:23" ht="13.5" customHeight="1" x14ac:dyDescent="0.2">
      <c r="A11" s="154">
        <v>1</v>
      </c>
      <c r="B11" s="155" t="s">
        <v>564</v>
      </c>
      <c r="C11" s="97">
        <f>D11+E11</f>
        <v>10422</v>
      </c>
      <c r="D11" s="97"/>
      <c r="E11" s="97">
        <v>10422</v>
      </c>
      <c r="F11" s="97"/>
      <c r="G11" s="97"/>
      <c r="H11" s="97"/>
      <c r="I11" s="156">
        <f>J11+K11</f>
        <v>9816</v>
      </c>
      <c r="J11" s="97">
        <v>45</v>
      </c>
      <c r="K11" s="97">
        <v>9771</v>
      </c>
      <c r="L11" s="97"/>
      <c r="M11" s="97"/>
      <c r="N11" s="97"/>
      <c r="O11" s="97"/>
      <c r="P11" s="97"/>
      <c r="Q11" s="97"/>
      <c r="R11" s="97"/>
      <c r="S11" s="97"/>
      <c r="T11" s="97"/>
      <c r="U11" s="98"/>
      <c r="V11" s="98"/>
      <c r="W11" s="95"/>
    </row>
    <row r="12" spans="1:23" ht="25.5" customHeight="1" x14ac:dyDescent="0.2">
      <c r="A12" s="154">
        <v>2</v>
      </c>
      <c r="B12" s="155" t="s">
        <v>201</v>
      </c>
      <c r="C12" s="97">
        <f t="shared" ref="C12:C62" si="1">D12+E12</f>
        <v>28290</v>
      </c>
      <c r="D12" s="97"/>
      <c r="E12" s="156">
        <v>28290</v>
      </c>
      <c r="F12" s="156"/>
      <c r="G12" s="156"/>
      <c r="H12" s="156"/>
      <c r="I12" s="156">
        <f t="shared" ref="I12:I15" si="2">J12+K12</f>
        <v>28802</v>
      </c>
      <c r="J12" s="97">
        <v>2780</v>
      </c>
      <c r="K12" s="97">
        <v>26022</v>
      </c>
      <c r="L12" s="97"/>
      <c r="M12" s="97"/>
      <c r="N12" s="97"/>
      <c r="O12" s="97"/>
      <c r="P12" s="97"/>
      <c r="Q12" s="97"/>
      <c r="R12" s="97"/>
      <c r="S12" s="97"/>
      <c r="T12" s="97"/>
      <c r="U12" s="98"/>
      <c r="V12" s="98"/>
      <c r="W12" s="98"/>
    </row>
    <row r="13" spans="1:23" ht="13.5" customHeight="1" x14ac:dyDescent="0.2">
      <c r="A13" s="154">
        <v>3</v>
      </c>
      <c r="B13" s="155" t="s">
        <v>202</v>
      </c>
      <c r="C13" s="97">
        <f t="shared" si="1"/>
        <v>7971</v>
      </c>
      <c r="D13" s="97"/>
      <c r="E13" s="156">
        <f>6921+1050</f>
        <v>7971</v>
      </c>
      <c r="F13" s="156"/>
      <c r="G13" s="156"/>
      <c r="H13" s="156"/>
      <c r="I13" s="156">
        <f t="shared" si="2"/>
        <v>52036</v>
      </c>
      <c r="J13" s="97">
        <v>44591</v>
      </c>
      <c r="K13" s="97">
        <v>7445</v>
      </c>
      <c r="L13" s="97"/>
      <c r="M13" s="97"/>
      <c r="N13" s="97"/>
      <c r="O13" s="97"/>
      <c r="P13" s="97"/>
      <c r="Q13" s="97"/>
      <c r="R13" s="97"/>
      <c r="S13" s="97"/>
      <c r="T13" s="97"/>
      <c r="U13" s="98"/>
      <c r="V13" s="98"/>
      <c r="W13" s="98"/>
    </row>
    <row r="14" spans="1:23" ht="13.5" customHeight="1" x14ac:dyDescent="0.2">
      <c r="A14" s="154">
        <v>4</v>
      </c>
      <c r="B14" s="155" t="s">
        <v>203</v>
      </c>
      <c r="C14" s="97">
        <f t="shared" si="1"/>
        <v>8658</v>
      </c>
      <c r="D14" s="97"/>
      <c r="E14" s="156">
        <v>8658</v>
      </c>
      <c r="F14" s="156"/>
      <c r="G14" s="156"/>
      <c r="H14" s="156"/>
      <c r="I14" s="156">
        <f t="shared" si="2"/>
        <v>7723</v>
      </c>
      <c r="J14" s="97"/>
      <c r="K14" s="97">
        <v>7723</v>
      </c>
      <c r="L14" s="97"/>
      <c r="M14" s="97"/>
      <c r="N14" s="97"/>
      <c r="O14" s="97"/>
      <c r="P14" s="97"/>
      <c r="Q14" s="97"/>
      <c r="R14" s="97"/>
      <c r="S14" s="97"/>
      <c r="T14" s="97"/>
      <c r="U14" s="97"/>
      <c r="V14" s="97"/>
      <c r="W14" s="97"/>
    </row>
    <row r="15" spans="1:23" ht="13.5" customHeight="1" x14ac:dyDescent="0.2">
      <c r="A15" s="154">
        <v>5</v>
      </c>
      <c r="B15" s="155" t="s">
        <v>204</v>
      </c>
      <c r="C15" s="97">
        <f t="shared" si="1"/>
        <v>22508</v>
      </c>
      <c r="D15" s="97"/>
      <c r="E15" s="156">
        <v>22508</v>
      </c>
      <c r="F15" s="156"/>
      <c r="G15" s="156"/>
      <c r="H15" s="156"/>
      <c r="I15" s="156">
        <f t="shared" si="2"/>
        <v>29801</v>
      </c>
      <c r="J15" s="97">
        <v>10892</v>
      </c>
      <c r="K15" s="97">
        <v>18909</v>
      </c>
      <c r="L15" s="97"/>
      <c r="M15" s="97"/>
      <c r="N15" s="97"/>
      <c r="O15" s="97" t="s">
        <v>293</v>
      </c>
      <c r="P15" s="97"/>
      <c r="Q15" s="97"/>
      <c r="R15" s="97"/>
      <c r="S15" s="97"/>
      <c r="T15" s="97"/>
      <c r="U15" s="97"/>
      <c r="V15" s="97"/>
      <c r="W15" s="97"/>
    </row>
    <row r="16" spans="1:23" ht="13.5" customHeight="1" x14ac:dyDescent="0.2">
      <c r="A16" s="154">
        <v>6</v>
      </c>
      <c r="B16" s="155" t="s">
        <v>205</v>
      </c>
      <c r="C16" s="97">
        <f t="shared" si="1"/>
        <v>56138</v>
      </c>
      <c r="D16" s="97"/>
      <c r="E16" s="156">
        <v>56138</v>
      </c>
      <c r="F16" s="156"/>
      <c r="G16" s="156"/>
      <c r="H16" s="156"/>
      <c r="I16" s="156">
        <f>J16+K16+N16</f>
        <v>35129</v>
      </c>
      <c r="J16" s="97">
        <v>1231</v>
      </c>
      <c r="K16" s="97">
        <v>33534</v>
      </c>
      <c r="L16" s="97"/>
      <c r="M16" s="97"/>
      <c r="N16" s="97">
        <f>O16+P16</f>
        <v>364</v>
      </c>
      <c r="O16" s="97"/>
      <c r="P16" s="97">
        <v>364</v>
      </c>
      <c r="Q16" s="97"/>
      <c r="R16" s="97"/>
      <c r="S16" s="97"/>
      <c r="T16" s="97"/>
      <c r="U16" s="97"/>
      <c r="V16" s="97"/>
      <c r="W16" s="97"/>
    </row>
    <row r="17" spans="1:23" ht="13.5" customHeight="1" x14ac:dyDescent="0.2">
      <c r="A17" s="154">
        <v>7</v>
      </c>
      <c r="B17" s="155" t="s">
        <v>206</v>
      </c>
      <c r="C17" s="97">
        <f t="shared" si="1"/>
        <v>22072</v>
      </c>
      <c r="D17" s="97"/>
      <c r="E17" s="156">
        <v>22072</v>
      </c>
      <c r="F17" s="156"/>
      <c r="G17" s="156"/>
      <c r="H17" s="156"/>
      <c r="I17" s="156">
        <f t="shared" ref="I17:I61" si="3">J17+K17+N17</f>
        <v>15754</v>
      </c>
      <c r="J17" s="97">
        <v>2591</v>
      </c>
      <c r="K17" s="97">
        <v>13163</v>
      </c>
      <c r="L17" s="97"/>
      <c r="M17" s="97"/>
      <c r="N17" s="97"/>
      <c r="O17" s="97"/>
      <c r="P17" s="97"/>
      <c r="Q17" s="97"/>
      <c r="R17" s="97"/>
      <c r="S17" s="97"/>
      <c r="T17" s="97"/>
      <c r="U17" s="97"/>
      <c r="V17" s="97"/>
      <c r="W17" s="97"/>
    </row>
    <row r="18" spans="1:23" ht="13.5" customHeight="1" x14ac:dyDescent="0.2">
      <c r="A18" s="154">
        <v>8</v>
      </c>
      <c r="B18" s="155" t="s">
        <v>207</v>
      </c>
      <c r="C18" s="97">
        <f t="shared" si="1"/>
        <v>12473</v>
      </c>
      <c r="D18" s="97"/>
      <c r="E18" s="156">
        <v>12473</v>
      </c>
      <c r="F18" s="156"/>
      <c r="G18" s="156"/>
      <c r="H18" s="156"/>
      <c r="I18" s="156">
        <f t="shared" si="3"/>
        <v>28526</v>
      </c>
      <c r="J18" s="97">
        <v>18120</v>
      </c>
      <c r="K18" s="97">
        <v>10406</v>
      </c>
      <c r="L18" s="97"/>
      <c r="M18" s="97"/>
      <c r="N18" s="97"/>
      <c r="O18" s="97"/>
      <c r="P18" s="97"/>
      <c r="Q18" s="97"/>
      <c r="R18" s="97"/>
      <c r="S18" s="97"/>
      <c r="T18" s="97"/>
      <c r="U18" s="97"/>
      <c r="V18" s="97"/>
      <c r="W18" s="97"/>
    </row>
    <row r="19" spans="1:23" ht="13.5" customHeight="1" x14ac:dyDescent="0.2">
      <c r="A19" s="154">
        <v>9</v>
      </c>
      <c r="B19" s="155" t="s">
        <v>208</v>
      </c>
      <c r="C19" s="97">
        <f t="shared" si="1"/>
        <v>89455</v>
      </c>
      <c r="D19" s="97"/>
      <c r="E19" s="156">
        <v>89455</v>
      </c>
      <c r="F19" s="156"/>
      <c r="G19" s="156"/>
      <c r="H19" s="156"/>
      <c r="I19" s="156">
        <f t="shared" si="3"/>
        <v>38213</v>
      </c>
      <c r="J19" s="97">
        <v>1329</v>
      </c>
      <c r="K19" s="97">
        <v>36202</v>
      </c>
      <c r="L19" s="97"/>
      <c r="M19" s="97"/>
      <c r="N19" s="97">
        <f t="shared" ref="N19:N62" si="4">O19+P19</f>
        <v>682</v>
      </c>
      <c r="O19" s="97"/>
      <c r="P19" s="97">
        <v>682</v>
      </c>
      <c r="Q19" s="97"/>
      <c r="R19" s="97"/>
      <c r="S19" s="97"/>
      <c r="T19" s="97"/>
      <c r="U19" s="97"/>
      <c r="V19" s="97"/>
      <c r="W19" s="97"/>
    </row>
    <row r="20" spans="1:23" ht="13.5" customHeight="1" x14ac:dyDescent="0.2">
      <c r="A20" s="154">
        <v>10</v>
      </c>
      <c r="B20" s="155" t="s">
        <v>209</v>
      </c>
      <c r="C20" s="97">
        <f t="shared" si="1"/>
        <v>8700</v>
      </c>
      <c r="D20" s="97"/>
      <c r="E20" s="156">
        <v>8700</v>
      </c>
      <c r="F20" s="156"/>
      <c r="G20" s="156"/>
      <c r="H20" s="156"/>
      <c r="I20" s="156">
        <f t="shared" si="3"/>
        <v>24238</v>
      </c>
      <c r="J20" s="97">
        <v>16617</v>
      </c>
      <c r="K20" s="97">
        <v>7621</v>
      </c>
      <c r="L20" s="97"/>
      <c r="M20" s="97"/>
      <c r="N20" s="97"/>
      <c r="O20" s="97"/>
      <c r="P20" s="97"/>
      <c r="Q20" s="97"/>
      <c r="R20" s="97"/>
      <c r="S20" s="97"/>
      <c r="T20" s="97"/>
      <c r="U20" s="97"/>
      <c r="V20" s="97"/>
      <c r="W20" s="97"/>
    </row>
    <row r="21" spans="1:23" ht="13.5" customHeight="1" x14ac:dyDescent="0.2">
      <c r="A21" s="154">
        <v>11</v>
      </c>
      <c r="B21" s="155" t="s">
        <v>210</v>
      </c>
      <c r="C21" s="97">
        <f t="shared" si="1"/>
        <v>58101</v>
      </c>
      <c r="D21" s="97"/>
      <c r="E21" s="156">
        <f>47777+10324</f>
        <v>58101</v>
      </c>
      <c r="F21" s="156"/>
      <c r="G21" s="156"/>
      <c r="H21" s="156"/>
      <c r="I21" s="156">
        <f t="shared" si="3"/>
        <v>472158</v>
      </c>
      <c r="J21" s="97">
        <v>444767</v>
      </c>
      <c r="K21" s="97">
        <v>27391</v>
      </c>
      <c r="L21" s="97"/>
      <c r="M21" s="97"/>
      <c r="N21" s="97"/>
      <c r="O21" s="97"/>
      <c r="P21" s="97"/>
      <c r="Q21" s="97"/>
      <c r="R21" s="97"/>
      <c r="S21" s="97"/>
      <c r="T21" s="97"/>
      <c r="U21" s="97"/>
      <c r="V21" s="97"/>
      <c r="W21" s="97"/>
    </row>
    <row r="22" spans="1:23" ht="13.5" customHeight="1" x14ac:dyDescent="0.2">
      <c r="A22" s="154">
        <v>12</v>
      </c>
      <c r="B22" s="155" t="s">
        <v>211</v>
      </c>
      <c r="C22" s="97">
        <f t="shared" si="1"/>
        <v>13108</v>
      </c>
      <c r="D22" s="97"/>
      <c r="E22" s="156">
        <v>13108</v>
      </c>
      <c r="F22" s="156"/>
      <c r="G22" s="156"/>
      <c r="H22" s="156"/>
      <c r="I22" s="156">
        <f t="shared" si="3"/>
        <v>17701</v>
      </c>
      <c r="J22" s="97">
        <v>6365</v>
      </c>
      <c r="K22" s="97">
        <v>10968</v>
      </c>
      <c r="L22" s="97"/>
      <c r="M22" s="97"/>
      <c r="N22" s="97">
        <f t="shared" si="4"/>
        <v>368</v>
      </c>
      <c r="O22" s="97"/>
      <c r="P22" s="97">
        <v>368</v>
      </c>
      <c r="Q22" s="97"/>
      <c r="R22" s="97"/>
      <c r="S22" s="97"/>
      <c r="T22" s="97"/>
      <c r="U22" s="97"/>
      <c r="V22" s="97"/>
      <c r="W22" s="97"/>
    </row>
    <row r="23" spans="1:23" ht="13.5" customHeight="1" x14ac:dyDescent="0.2">
      <c r="A23" s="154">
        <v>13</v>
      </c>
      <c r="B23" s="155" t="s">
        <v>212</v>
      </c>
      <c r="C23" s="97">
        <f t="shared" si="1"/>
        <v>47009</v>
      </c>
      <c r="D23" s="97"/>
      <c r="E23" s="156">
        <v>47009</v>
      </c>
      <c r="F23" s="156"/>
      <c r="G23" s="156"/>
      <c r="H23" s="156"/>
      <c r="I23" s="156">
        <f t="shared" si="3"/>
        <v>52294</v>
      </c>
      <c r="J23" s="97">
        <v>25368</v>
      </c>
      <c r="K23" s="97">
        <v>26926</v>
      </c>
      <c r="L23" s="97"/>
      <c r="M23" s="97"/>
      <c r="N23" s="97"/>
      <c r="O23" s="97"/>
      <c r="P23" s="97"/>
      <c r="Q23" s="97"/>
      <c r="R23" s="97"/>
      <c r="S23" s="97"/>
      <c r="T23" s="97"/>
      <c r="U23" s="97"/>
      <c r="V23" s="97"/>
      <c r="W23" s="97"/>
    </row>
    <row r="24" spans="1:23" ht="13.5" customHeight="1" x14ac:dyDescent="0.2">
      <c r="A24" s="154">
        <v>14</v>
      </c>
      <c r="B24" s="155" t="s">
        <v>213</v>
      </c>
      <c r="C24" s="97">
        <f t="shared" si="1"/>
        <v>83969</v>
      </c>
      <c r="D24" s="97"/>
      <c r="E24" s="156">
        <v>83969</v>
      </c>
      <c r="F24" s="156"/>
      <c r="G24" s="156"/>
      <c r="H24" s="156"/>
      <c r="I24" s="156">
        <f t="shared" si="3"/>
        <v>87709</v>
      </c>
      <c r="J24" s="97">
        <v>10139</v>
      </c>
      <c r="K24" s="97">
        <v>77338</v>
      </c>
      <c r="L24" s="97"/>
      <c r="M24" s="97"/>
      <c r="N24" s="97">
        <f t="shared" si="4"/>
        <v>232</v>
      </c>
      <c r="O24" s="97">
        <v>73</v>
      </c>
      <c r="P24" s="97">
        <v>159</v>
      </c>
      <c r="Q24" s="97"/>
      <c r="R24" s="97"/>
      <c r="S24" s="97"/>
      <c r="T24" s="97"/>
      <c r="U24" s="97"/>
      <c r="V24" s="97"/>
      <c r="W24" s="97"/>
    </row>
    <row r="25" spans="1:23" ht="13.5" customHeight="1" x14ac:dyDescent="0.2">
      <c r="A25" s="154">
        <v>15</v>
      </c>
      <c r="B25" s="155" t="s">
        <v>214</v>
      </c>
      <c r="C25" s="97">
        <f t="shared" si="1"/>
        <v>7525</v>
      </c>
      <c r="D25" s="97"/>
      <c r="E25" s="156">
        <v>7525</v>
      </c>
      <c r="F25" s="156"/>
      <c r="G25" s="156"/>
      <c r="H25" s="156"/>
      <c r="I25" s="156">
        <f t="shared" si="3"/>
        <v>6571</v>
      </c>
      <c r="J25" s="97"/>
      <c r="K25" s="97">
        <v>6571</v>
      </c>
      <c r="L25" s="97"/>
      <c r="M25" s="97"/>
      <c r="N25" s="97"/>
      <c r="O25" s="97"/>
      <c r="P25" s="97"/>
      <c r="Q25" s="97"/>
      <c r="R25" s="97"/>
      <c r="S25" s="97"/>
      <c r="T25" s="97"/>
      <c r="U25" s="97"/>
      <c r="V25" s="97"/>
      <c r="W25" s="97"/>
    </row>
    <row r="26" spans="1:23" ht="13.5" customHeight="1" x14ac:dyDescent="0.2">
      <c r="A26" s="154">
        <v>16</v>
      </c>
      <c r="B26" s="155" t="s">
        <v>215</v>
      </c>
      <c r="C26" s="97">
        <f t="shared" si="1"/>
        <v>17933</v>
      </c>
      <c r="D26" s="97"/>
      <c r="E26" s="156">
        <v>17933</v>
      </c>
      <c r="F26" s="156"/>
      <c r="G26" s="156"/>
      <c r="H26" s="156"/>
      <c r="I26" s="156">
        <f t="shared" si="3"/>
        <v>16904</v>
      </c>
      <c r="J26" s="97">
        <v>515</v>
      </c>
      <c r="K26" s="97">
        <v>16389</v>
      </c>
      <c r="L26" s="97"/>
      <c r="M26" s="97"/>
      <c r="N26" s="97"/>
      <c r="O26" s="97"/>
      <c r="P26" s="97"/>
      <c r="Q26" s="97"/>
      <c r="R26" s="97"/>
      <c r="S26" s="97"/>
      <c r="T26" s="97"/>
      <c r="U26" s="97"/>
      <c r="V26" s="97"/>
      <c r="W26" s="97"/>
    </row>
    <row r="27" spans="1:23" ht="13.5" customHeight="1" x14ac:dyDescent="0.2">
      <c r="A27" s="154">
        <v>17</v>
      </c>
      <c r="B27" s="155" t="s">
        <v>216</v>
      </c>
      <c r="C27" s="97">
        <f t="shared" si="1"/>
        <v>23787</v>
      </c>
      <c r="D27" s="97"/>
      <c r="E27" s="156">
        <v>23787</v>
      </c>
      <c r="F27" s="156"/>
      <c r="G27" s="156"/>
      <c r="H27" s="156"/>
      <c r="I27" s="156">
        <f t="shared" si="3"/>
        <v>11487</v>
      </c>
      <c r="J27" s="97"/>
      <c r="K27" s="97">
        <v>9911</v>
      </c>
      <c r="L27" s="97"/>
      <c r="M27" s="97"/>
      <c r="N27" s="97">
        <f t="shared" si="4"/>
        <v>1576</v>
      </c>
      <c r="O27" s="97"/>
      <c r="P27" s="97">
        <v>1576</v>
      </c>
      <c r="Q27" s="97"/>
      <c r="R27" s="97"/>
      <c r="S27" s="97"/>
      <c r="T27" s="97"/>
      <c r="U27" s="97"/>
      <c r="V27" s="97"/>
      <c r="W27" s="97"/>
    </row>
    <row r="28" spans="1:23" ht="13.5" customHeight="1" x14ac:dyDescent="0.2">
      <c r="A28" s="154">
        <v>18</v>
      </c>
      <c r="B28" s="155" t="s">
        <v>217</v>
      </c>
      <c r="C28" s="97">
        <f t="shared" si="1"/>
        <v>2869</v>
      </c>
      <c r="D28" s="97"/>
      <c r="E28" s="156">
        <v>2869</v>
      </c>
      <c r="F28" s="156"/>
      <c r="G28" s="156"/>
      <c r="H28" s="156"/>
      <c r="I28" s="156">
        <f t="shared" si="3"/>
        <v>2915</v>
      </c>
      <c r="J28" s="97"/>
      <c r="K28" s="97">
        <v>2915</v>
      </c>
      <c r="L28" s="97"/>
      <c r="M28" s="97"/>
      <c r="N28" s="97">
        <f t="shared" si="4"/>
        <v>0</v>
      </c>
      <c r="O28" s="97"/>
      <c r="P28" s="97"/>
      <c r="Q28" s="97"/>
      <c r="R28" s="97"/>
      <c r="S28" s="97"/>
      <c r="T28" s="97"/>
      <c r="U28" s="97"/>
      <c r="V28" s="97"/>
      <c r="W28" s="97"/>
    </row>
    <row r="29" spans="1:23" ht="21" customHeight="1" x14ac:dyDescent="0.2">
      <c r="A29" s="154">
        <v>19</v>
      </c>
      <c r="B29" s="155" t="s">
        <v>578</v>
      </c>
      <c r="C29" s="97">
        <f t="shared" si="1"/>
        <v>412671</v>
      </c>
      <c r="D29" s="97"/>
      <c r="E29" s="156">
        <f>390520+22151</f>
        <v>412671</v>
      </c>
      <c r="F29" s="156"/>
      <c r="G29" s="156"/>
      <c r="H29" s="156"/>
      <c r="I29" s="156">
        <f t="shared" si="3"/>
        <v>343713</v>
      </c>
      <c r="J29" s="97">
        <v>23179</v>
      </c>
      <c r="K29" s="97">
        <v>318533</v>
      </c>
      <c r="L29" s="97"/>
      <c r="M29" s="97"/>
      <c r="N29" s="97">
        <f t="shared" si="4"/>
        <v>2001</v>
      </c>
      <c r="O29" s="97"/>
      <c r="P29" s="97">
        <v>2001</v>
      </c>
      <c r="Q29" s="97"/>
      <c r="R29" s="97"/>
      <c r="S29" s="97"/>
      <c r="T29" s="97"/>
      <c r="U29" s="97"/>
      <c r="V29" s="97"/>
      <c r="W29" s="97"/>
    </row>
    <row r="30" spans="1:23" ht="13.5" customHeight="1" x14ac:dyDescent="0.2">
      <c r="A30" s="154">
        <v>20</v>
      </c>
      <c r="B30" s="155" t="s">
        <v>218</v>
      </c>
      <c r="C30" s="97">
        <f t="shared" si="1"/>
        <v>633850</v>
      </c>
      <c r="D30" s="97"/>
      <c r="E30" s="156">
        <f>626253+7597</f>
        <v>633850</v>
      </c>
      <c r="F30" s="156"/>
      <c r="G30" s="156"/>
      <c r="H30" s="156"/>
      <c r="I30" s="156">
        <f t="shared" si="3"/>
        <v>486983</v>
      </c>
      <c r="J30" s="97">
        <v>125057</v>
      </c>
      <c r="K30" s="97">
        <v>361473</v>
      </c>
      <c r="L30" s="97"/>
      <c r="M30" s="97"/>
      <c r="N30" s="97">
        <f t="shared" si="4"/>
        <v>453</v>
      </c>
      <c r="O30" s="97"/>
      <c r="P30" s="97">
        <v>453</v>
      </c>
      <c r="Q30" s="97"/>
      <c r="R30" s="97"/>
      <c r="S30" s="97"/>
      <c r="T30" s="97"/>
      <c r="U30" s="97"/>
      <c r="V30" s="97"/>
      <c r="W30" s="97"/>
    </row>
    <row r="31" spans="1:23" ht="13.5" customHeight="1" x14ac:dyDescent="0.2">
      <c r="A31" s="154">
        <v>21</v>
      </c>
      <c r="B31" s="155" t="s">
        <v>219</v>
      </c>
      <c r="C31" s="97">
        <f t="shared" si="1"/>
        <v>195224</v>
      </c>
      <c r="D31" s="97"/>
      <c r="E31" s="156">
        <v>195224</v>
      </c>
      <c r="F31" s="156"/>
      <c r="G31" s="156"/>
      <c r="H31" s="156"/>
      <c r="I31" s="156">
        <f t="shared" si="3"/>
        <v>716864</v>
      </c>
      <c r="J31" s="97">
        <v>518875</v>
      </c>
      <c r="K31" s="97">
        <v>190776</v>
      </c>
      <c r="L31" s="97"/>
      <c r="M31" s="97"/>
      <c r="N31" s="97">
        <f t="shared" si="4"/>
        <v>7213</v>
      </c>
      <c r="O31" s="97"/>
      <c r="P31" s="97">
        <v>7213</v>
      </c>
      <c r="Q31" s="97"/>
      <c r="R31" s="97"/>
      <c r="S31" s="97"/>
      <c r="T31" s="97"/>
      <c r="U31" s="97"/>
      <c r="V31" s="97"/>
      <c r="W31" s="97"/>
    </row>
    <row r="32" spans="1:23" ht="13.5" customHeight="1" x14ac:dyDescent="0.2">
      <c r="A32" s="154">
        <v>22</v>
      </c>
      <c r="B32" s="155" t="s">
        <v>220</v>
      </c>
      <c r="C32" s="97">
        <f t="shared" si="1"/>
        <v>1299</v>
      </c>
      <c r="D32" s="97"/>
      <c r="E32" s="156">
        <v>1299</v>
      </c>
      <c r="F32" s="156"/>
      <c r="G32" s="156"/>
      <c r="H32" s="156"/>
      <c r="I32" s="156">
        <f t="shared" si="3"/>
        <v>1208</v>
      </c>
      <c r="J32" s="97"/>
      <c r="K32" s="97">
        <v>1208</v>
      </c>
      <c r="L32" s="97"/>
      <c r="M32" s="97"/>
      <c r="N32" s="97"/>
      <c r="O32" s="97"/>
      <c r="P32" s="97"/>
      <c r="Q32" s="97"/>
      <c r="R32" s="97"/>
      <c r="S32" s="97"/>
      <c r="T32" s="97"/>
      <c r="U32" s="97"/>
      <c r="V32" s="97"/>
      <c r="W32" s="97"/>
    </row>
    <row r="33" spans="1:23" ht="13.5" customHeight="1" x14ac:dyDescent="0.2">
      <c r="A33" s="154">
        <v>23</v>
      </c>
      <c r="B33" s="155" t="s">
        <v>221</v>
      </c>
      <c r="C33" s="97">
        <f t="shared" si="1"/>
        <v>12458</v>
      </c>
      <c r="D33" s="97"/>
      <c r="E33" s="156">
        <v>12458</v>
      </c>
      <c r="F33" s="156"/>
      <c r="G33" s="156"/>
      <c r="H33" s="156"/>
      <c r="I33" s="156">
        <f t="shared" si="3"/>
        <v>11526</v>
      </c>
      <c r="J33" s="97"/>
      <c r="K33" s="97">
        <v>11526</v>
      </c>
      <c r="L33" s="97"/>
      <c r="M33" s="97"/>
      <c r="N33" s="97"/>
      <c r="O33" s="97"/>
      <c r="P33" s="97"/>
      <c r="Q33" s="97"/>
      <c r="R33" s="97"/>
      <c r="S33" s="97"/>
      <c r="T33" s="97"/>
      <c r="U33" s="97"/>
      <c r="V33" s="97"/>
      <c r="W33" s="97"/>
    </row>
    <row r="34" spans="1:23" ht="13.5" customHeight="1" x14ac:dyDescent="0.2">
      <c r="A34" s="154">
        <v>24</v>
      </c>
      <c r="B34" s="155" t="s">
        <v>222</v>
      </c>
      <c r="C34" s="97">
        <f t="shared" si="1"/>
        <v>10070</v>
      </c>
      <c r="D34" s="97"/>
      <c r="E34" s="156">
        <v>10070</v>
      </c>
      <c r="F34" s="156"/>
      <c r="G34" s="156"/>
      <c r="H34" s="156"/>
      <c r="I34" s="156">
        <f t="shared" si="3"/>
        <v>9747</v>
      </c>
      <c r="J34" s="97"/>
      <c r="K34" s="97">
        <v>9747</v>
      </c>
      <c r="L34" s="97"/>
      <c r="M34" s="97"/>
      <c r="N34" s="97"/>
      <c r="O34" s="97"/>
      <c r="P34" s="97"/>
      <c r="Q34" s="97"/>
      <c r="R34" s="97"/>
      <c r="S34" s="97"/>
      <c r="T34" s="97"/>
      <c r="U34" s="97"/>
      <c r="V34" s="97"/>
      <c r="W34" s="97"/>
    </row>
    <row r="35" spans="1:23" ht="13.5" customHeight="1" x14ac:dyDescent="0.2">
      <c r="A35" s="154">
        <v>25</v>
      </c>
      <c r="B35" s="155" t="s">
        <v>223</v>
      </c>
      <c r="C35" s="97">
        <f t="shared" si="1"/>
        <v>12464</v>
      </c>
      <c r="D35" s="97"/>
      <c r="E35" s="156">
        <v>12464</v>
      </c>
      <c r="F35" s="156"/>
      <c r="G35" s="156"/>
      <c r="H35" s="156"/>
      <c r="I35" s="156">
        <f t="shared" si="3"/>
        <v>10020</v>
      </c>
      <c r="J35" s="97"/>
      <c r="K35" s="97">
        <v>10020</v>
      </c>
      <c r="L35" s="97"/>
      <c r="M35" s="97"/>
      <c r="N35" s="97"/>
      <c r="O35" s="97"/>
      <c r="P35" s="97"/>
      <c r="Q35" s="97"/>
      <c r="R35" s="97"/>
      <c r="S35" s="97"/>
      <c r="T35" s="97"/>
      <c r="U35" s="97"/>
      <c r="V35" s="97"/>
      <c r="W35" s="97"/>
    </row>
    <row r="36" spans="1:23" ht="13.5" customHeight="1" x14ac:dyDescent="0.2">
      <c r="A36" s="154">
        <v>26</v>
      </c>
      <c r="B36" s="155" t="s">
        <v>224</v>
      </c>
      <c r="C36" s="97">
        <f t="shared" si="1"/>
        <v>67695</v>
      </c>
      <c r="D36" s="97"/>
      <c r="E36" s="156">
        <v>67695</v>
      </c>
      <c r="F36" s="156"/>
      <c r="G36" s="156"/>
      <c r="H36" s="156"/>
      <c r="I36" s="156">
        <f t="shared" si="3"/>
        <v>59315</v>
      </c>
      <c r="J36" s="97"/>
      <c r="K36" s="97">
        <f>59740-425</f>
        <v>59315</v>
      </c>
      <c r="L36" s="97"/>
      <c r="M36" s="97"/>
      <c r="N36" s="97"/>
      <c r="O36" s="97"/>
      <c r="P36" s="97"/>
      <c r="Q36" s="97"/>
      <c r="R36" s="97"/>
      <c r="S36" s="97"/>
      <c r="T36" s="97"/>
      <c r="U36" s="97"/>
      <c r="V36" s="97"/>
      <c r="W36" s="97"/>
    </row>
    <row r="37" spans="1:23" ht="13.5" customHeight="1" x14ac:dyDescent="0.2">
      <c r="A37" s="154">
        <v>27</v>
      </c>
      <c r="B37" s="155" t="s">
        <v>225</v>
      </c>
      <c r="C37" s="97">
        <f t="shared" si="1"/>
        <v>15162</v>
      </c>
      <c r="D37" s="97"/>
      <c r="E37" s="156">
        <v>15162</v>
      </c>
      <c r="F37" s="156"/>
      <c r="G37" s="156"/>
      <c r="H37" s="156"/>
      <c r="I37" s="156">
        <f t="shared" si="3"/>
        <v>13415</v>
      </c>
      <c r="J37" s="97"/>
      <c r="K37" s="97">
        <v>13415</v>
      </c>
      <c r="L37" s="97"/>
      <c r="M37" s="97"/>
      <c r="N37" s="97"/>
      <c r="O37" s="97"/>
      <c r="P37" s="97"/>
      <c r="Q37" s="97"/>
      <c r="R37" s="97"/>
      <c r="S37" s="97"/>
      <c r="T37" s="97"/>
      <c r="U37" s="97"/>
      <c r="V37" s="97"/>
      <c r="W37" s="97"/>
    </row>
    <row r="38" spans="1:23" ht="13.5" customHeight="1" x14ac:dyDescent="0.2">
      <c r="A38" s="154">
        <v>28</v>
      </c>
      <c r="B38" s="155" t="s">
        <v>226</v>
      </c>
      <c r="C38" s="97">
        <f t="shared" si="1"/>
        <v>407</v>
      </c>
      <c r="D38" s="97"/>
      <c r="E38" s="156">
        <v>407</v>
      </c>
      <c r="F38" s="156"/>
      <c r="G38" s="156"/>
      <c r="H38" s="156"/>
      <c r="I38" s="156">
        <f t="shared" si="3"/>
        <v>585</v>
      </c>
      <c r="J38" s="97"/>
      <c r="K38" s="97">
        <v>585</v>
      </c>
      <c r="L38" s="97"/>
      <c r="M38" s="97"/>
      <c r="N38" s="97"/>
      <c r="O38" s="97"/>
      <c r="P38" s="97"/>
      <c r="Q38" s="97"/>
      <c r="R38" s="97"/>
      <c r="S38" s="97"/>
      <c r="T38" s="97"/>
      <c r="U38" s="97"/>
      <c r="V38" s="97"/>
      <c r="W38" s="97"/>
    </row>
    <row r="39" spans="1:23" ht="13.5" customHeight="1" x14ac:dyDescent="0.2">
      <c r="A39" s="154">
        <v>29</v>
      </c>
      <c r="B39" s="155" t="s">
        <v>227</v>
      </c>
      <c r="C39" s="97">
        <f t="shared" si="1"/>
        <v>384</v>
      </c>
      <c r="D39" s="97"/>
      <c r="E39" s="156">
        <v>384</v>
      </c>
      <c r="F39" s="156"/>
      <c r="G39" s="156"/>
      <c r="H39" s="156"/>
      <c r="I39" s="156">
        <f t="shared" si="3"/>
        <v>771</v>
      </c>
      <c r="J39" s="97"/>
      <c r="K39" s="97">
        <v>771</v>
      </c>
      <c r="L39" s="97"/>
      <c r="M39" s="97"/>
      <c r="N39" s="97"/>
      <c r="O39" s="97"/>
      <c r="P39" s="97"/>
      <c r="Q39" s="97"/>
      <c r="R39" s="97"/>
      <c r="S39" s="97"/>
      <c r="T39" s="97"/>
      <c r="U39" s="97"/>
      <c r="V39" s="97"/>
      <c r="W39" s="97"/>
    </row>
    <row r="40" spans="1:23" ht="13.5" customHeight="1" x14ac:dyDescent="0.2">
      <c r="A40" s="154">
        <v>30</v>
      </c>
      <c r="B40" s="155" t="s">
        <v>228</v>
      </c>
      <c r="C40" s="97">
        <f t="shared" si="1"/>
        <v>1667</v>
      </c>
      <c r="D40" s="97"/>
      <c r="E40" s="156">
        <v>1667</v>
      </c>
      <c r="F40" s="156"/>
      <c r="G40" s="156"/>
      <c r="H40" s="156"/>
      <c r="I40" s="156">
        <f t="shared" si="3"/>
        <v>889</v>
      </c>
      <c r="J40" s="97"/>
      <c r="K40" s="97">
        <v>889</v>
      </c>
      <c r="L40" s="97"/>
      <c r="M40" s="97"/>
      <c r="N40" s="97"/>
      <c r="O40" s="97"/>
      <c r="P40" s="97"/>
      <c r="Q40" s="97"/>
      <c r="R40" s="97"/>
      <c r="S40" s="97"/>
      <c r="T40" s="97"/>
      <c r="U40" s="97"/>
      <c r="V40" s="97"/>
      <c r="W40" s="97"/>
    </row>
    <row r="41" spans="1:23" ht="13.5" customHeight="1" x14ac:dyDescent="0.2">
      <c r="A41" s="154">
        <v>31</v>
      </c>
      <c r="B41" s="155" t="s">
        <v>560</v>
      </c>
      <c r="C41" s="97">
        <f t="shared" si="1"/>
        <v>379</v>
      </c>
      <c r="D41" s="97"/>
      <c r="E41" s="156">
        <v>379</v>
      </c>
      <c r="F41" s="156"/>
      <c r="G41" s="156"/>
      <c r="H41" s="156"/>
      <c r="I41" s="156">
        <f t="shared" si="3"/>
        <v>483</v>
      </c>
      <c r="J41" s="97"/>
      <c r="K41" s="97">
        <v>483</v>
      </c>
      <c r="L41" s="97"/>
      <c r="M41" s="97"/>
      <c r="N41" s="97"/>
      <c r="O41" s="97"/>
      <c r="P41" s="97"/>
      <c r="Q41" s="97"/>
      <c r="R41" s="97"/>
      <c r="S41" s="97"/>
      <c r="T41" s="97"/>
      <c r="U41" s="97"/>
      <c r="V41" s="97"/>
      <c r="W41" s="97"/>
    </row>
    <row r="42" spans="1:23" ht="13.5" customHeight="1" x14ac:dyDescent="0.2">
      <c r="A42" s="154">
        <v>32</v>
      </c>
      <c r="B42" s="155" t="s">
        <v>229</v>
      </c>
      <c r="C42" s="97">
        <f t="shared" si="1"/>
        <v>199</v>
      </c>
      <c r="D42" s="97"/>
      <c r="E42" s="156">
        <v>199</v>
      </c>
      <c r="F42" s="156"/>
      <c r="G42" s="156"/>
      <c r="H42" s="156"/>
      <c r="I42" s="156">
        <f t="shared" si="3"/>
        <v>318</v>
      </c>
      <c r="J42" s="97"/>
      <c r="K42" s="97">
        <v>318</v>
      </c>
      <c r="L42" s="97"/>
      <c r="M42" s="97"/>
      <c r="N42" s="97"/>
      <c r="O42" s="97"/>
      <c r="P42" s="97"/>
      <c r="Q42" s="97"/>
      <c r="R42" s="97"/>
      <c r="S42" s="97"/>
      <c r="T42" s="97"/>
      <c r="U42" s="97"/>
      <c r="V42" s="97"/>
      <c r="W42" s="97"/>
    </row>
    <row r="43" spans="1:23" ht="13.5" customHeight="1" x14ac:dyDescent="0.2">
      <c r="A43" s="154">
        <v>33</v>
      </c>
      <c r="B43" s="155" t="s">
        <v>230</v>
      </c>
      <c r="C43" s="97">
        <f t="shared" si="1"/>
        <v>307</v>
      </c>
      <c r="D43" s="97"/>
      <c r="E43" s="156">
        <v>307</v>
      </c>
      <c r="F43" s="156"/>
      <c r="G43" s="156"/>
      <c r="H43" s="156"/>
      <c r="I43" s="156">
        <f t="shared" si="3"/>
        <v>408</v>
      </c>
      <c r="J43" s="97"/>
      <c r="K43" s="97">
        <v>408</v>
      </c>
      <c r="L43" s="97"/>
      <c r="M43" s="97"/>
      <c r="N43" s="97"/>
      <c r="O43" s="97"/>
      <c r="P43" s="97"/>
      <c r="Q43" s="97"/>
      <c r="R43" s="97"/>
      <c r="S43" s="97"/>
      <c r="T43" s="97"/>
      <c r="U43" s="97"/>
      <c r="V43" s="97"/>
      <c r="W43" s="97"/>
    </row>
    <row r="44" spans="1:23" ht="13.5" customHeight="1" x14ac:dyDescent="0.2">
      <c r="A44" s="154">
        <v>34</v>
      </c>
      <c r="B44" s="155" t="s">
        <v>231</v>
      </c>
      <c r="C44" s="97">
        <f t="shared" si="1"/>
        <v>3644</v>
      </c>
      <c r="D44" s="97"/>
      <c r="E44" s="156">
        <v>3644</v>
      </c>
      <c r="F44" s="156"/>
      <c r="G44" s="156"/>
      <c r="H44" s="156"/>
      <c r="I44" s="156">
        <f t="shared" si="3"/>
        <v>5694</v>
      </c>
      <c r="J44" s="97"/>
      <c r="K44" s="97">
        <v>5668</v>
      </c>
      <c r="L44" s="97"/>
      <c r="M44" s="97"/>
      <c r="N44" s="97">
        <f t="shared" si="4"/>
        <v>26</v>
      </c>
      <c r="O44" s="97"/>
      <c r="P44" s="97">
        <v>26</v>
      </c>
      <c r="Q44" s="97"/>
      <c r="R44" s="97"/>
      <c r="S44" s="97"/>
      <c r="T44" s="97"/>
      <c r="U44" s="97"/>
      <c r="V44" s="97"/>
      <c r="W44" s="97"/>
    </row>
    <row r="45" spans="1:23" ht="13.5" customHeight="1" x14ac:dyDescent="0.2">
      <c r="A45" s="154">
        <v>35</v>
      </c>
      <c r="B45" s="155" t="s">
        <v>232</v>
      </c>
      <c r="C45" s="97">
        <f t="shared" si="1"/>
        <v>3204</v>
      </c>
      <c r="D45" s="97"/>
      <c r="E45" s="156">
        <v>3204</v>
      </c>
      <c r="F45" s="156"/>
      <c r="G45" s="156"/>
      <c r="H45" s="156"/>
      <c r="I45" s="156">
        <f t="shared" si="3"/>
        <v>21965</v>
      </c>
      <c r="J45" s="97">
        <v>14859</v>
      </c>
      <c r="K45" s="97">
        <v>7106</v>
      </c>
      <c r="L45" s="97"/>
      <c r="M45" s="97"/>
      <c r="N45" s="97"/>
      <c r="O45" s="97"/>
      <c r="P45" s="97"/>
      <c r="Q45" s="97"/>
      <c r="R45" s="97"/>
      <c r="S45" s="97"/>
      <c r="T45" s="97"/>
      <c r="U45" s="97"/>
      <c r="V45" s="97"/>
      <c r="W45" s="97"/>
    </row>
    <row r="46" spans="1:23" ht="13.5" customHeight="1" x14ac:dyDescent="0.2">
      <c r="A46" s="154">
        <v>36</v>
      </c>
      <c r="B46" s="155" t="s">
        <v>233</v>
      </c>
      <c r="C46" s="97">
        <f t="shared" si="1"/>
        <v>2734</v>
      </c>
      <c r="D46" s="97"/>
      <c r="E46" s="156">
        <v>2734</v>
      </c>
      <c r="F46" s="156"/>
      <c r="G46" s="156"/>
      <c r="H46" s="156"/>
      <c r="I46" s="156">
        <f t="shared" si="3"/>
        <v>3124</v>
      </c>
      <c r="J46" s="97"/>
      <c r="K46" s="97">
        <v>3124</v>
      </c>
      <c r="L46" s="97"/>
      <c r="M46" s="97"/>
      <c r="N46" s="97"/>
      <c r="O46" s="97"/>
      <c r="P46" s="97"/>
      <c r="Q46" s="97"/>
      <c r="R46" s="97"/>
      <c r="S46" s="97"/>
      <c r="T46" s="97"/>
      <c r="U46" s="97"/>
      <c r="V46" s="97"/>
      <c r="W46" s="97"/>
    </row>
    <row r="47" spans="1:23" ht="13.5" customHeight="1" x14ac:dyDescent="0.2">
      <c r="A47" s="154">
        <v>37</v>
      </c>
      <c r="B47" s="155" t="s">
        <v>234</v>
      </c>
      <c r="C47" s="97">
        <f t="shared" si="1"/>
        <v>4194</v>
      </c>
      <c r="D47" s="97"/>
      <c r="E47" s="156">
        <f>3394+800</f>
        <v>4194</v>
      </c>
      <c r="F47" s="156"/>
      <c r="G47" s="156"/>
      <c r="H47" s="156"/>
      <c r="I47" s="156">
        <f t="shared" si="3"/>
        <v>5734</v>
      </c>
      <c r="J47" s="97">
        <v>472</v>
      </c>
      <c r="K47" s="97">
        <v>5262</v>
      </c>
      <c r="L47" s="97"/>
      <c r="M47" s="97"/>
      <c r="N47" s="97"/>
      <c r="O47" s="97"/>
      <c r="P47" s="97"/>
      <c r="Q47" s="97"/>
      <c r="R47" s="97"/>
      <c r="S47" s="97"/>
      <c r="T47" s="97"/>
      <c r="U47" s="97"/>
      <c r="V47" s="97"/>
      <c r="W47" s="97"/>
    </row>
    <row r="48" spans="1:23" ht="13.5" customHeight="1" x14ac:dyDescent="0.2">
      <c r="A48" s="154">
        <v>38</v>
      </c>
      <c r="B48" s="155" t="s">
        <v>235</v>
      </c>
      <c r="C48" s="97">
        <f t="shared" si="1"/>
        <v>1628</v>
      </c>
      <c r="D48" s="97"/>
      <c r="E48" s="156">
        <v>1628</v>
      </c>
      <c r="F48" s="156"/>
      <c r="G48" s="156"/>
      <c r="H48" s="156"/>
      <c r="I48" s="156">
        <f t="shared" si="3"/>
        <v>2183</v>
      </c>
      <c r="J48" s="97"/>
      <c r="K48" s="97">
        <v>2183</v>
      </c>
      <c r="L48" s="97"/>
      <c r="M48" s="97"/>
      <c r="N48" s="97"/>
      <c r="O48" s="97"/>
      <c r="P48" s="97"/>
      <c r="Q48" s="97"/>
      <c r="R48" s="97"/>
      <c r="S48" s="97"/>
      <c r="T48" s="97"/>
      <c r="U48" s="97"/>
      <c r="V48" s="97"/>
      <c r="W48" s="97"/>
    </row>
    <row r="49" spans="1:23" ht="13.5" customHeight="1" x14ac:dyDescent="0.2">
      <c r="A49" s="154">
        <v>39</v>
      </c>
      <c r="B49" s="155" t="s">
        <v>236</v>
      </c>
      <c r="C49" s="97">
        <f t="shared" si="1"/>
        <v>1690</v>
      </c>
      <c r="D49" s="97"/>
      <c r="E49" s="156">
        <v>1690</v>
      </c>
      <c r="F49" s="156"/>
      <c r="G49" s="156"/>
      <c r="H49" s="156"/>
      <c r="I49" s="156">
        <f t="shared" si="3"/>
        <v>1896</v>
      </c>
      <c r="J49" s="97"/>
      <c r="K49" s="97">
        <v>1896</v>
      </c>
      <c r="L49" s="97"/>
      <c r="M49" s="97"/>
      <c r="N49" s="97"/>
      <c r="O49" s="97"/>
      <c r="P49" s="97"/>
      <c r="Q49" s="97"/>
      <c r="R49" s="97"/>
      <c r="S49" s="97"/>
      <c r="T49" s="97"/>
      <c r="U49" s="97"/>
      <c r="V49" s="97"/>
      <c r="W49" s="97"/>
    </row>
    <row r="50" spans="1:23" ht="13.5" customHeight="1" x14ac:dyDescent="0.2">
      <c r="A50" s="154">
        <v>40</v>
      </c>
      <c r="B50" s="155" t="s">
        <v>237</v>
      </c>
      <c r="C50" s="97">
        <f t="shared" si="1"/>
        <v>642</v>
      </c>
      <c r="D50" s="97"/>
      <c r="E50" s="156">
        <v>642</v>
      </c>
      <c r="F50" s="156"/>
      <c r="G50" s="156"/>
      <c r="H50" s="156"/>
      <c r="I50" s="156">
        <f t="shared" si="3"/>
        <v>1578</v>
      </c>
      <c r="J50" s="97"/>
      <c r="K50" s="97">
        <v>1578</v>
      </c>
      <c r="L50" s="97"/>
      <c r="M50" s="97"/>
      <c r="N50" s="97"/>
      <c r="O50" s="97"/>
      <c r="P50" s="97"/>
      <c r="Q50" s="97"/>
      <c r="R50" s="97"/>
      <c r="S50" s="97"/>
      <c r="T50" s="97"/>
      <c r="U50" s="97"/>
      <c r="V50" s="97"/>
      <c r="W50" s="97"/>
    </row>
    <row r="51" spans="1:23" ht="13.5" customHeight="1" x14ac:dyDescent="0.2">
      <c r="A51" s="154">
        <v>41</v>
      </c>
      <c r="B51" s="155" t="s">
        <v>238</v>
      </c>
      <c r="C51" s="97">
        <f t="shared" si="1"/>
        <v>1034</v>
      </c>
      <c r="D51" s="97"/>
      <c r="E51" s="156">
        <v>1034</v>
      </c>
      <c r="F51" s="156"/>
      <c r="G51" s="156"/>
      <c r="H51" s="156"/>
      <c r="I51" s="156">
        <f t="shared" si="3"/>
        <v>1132</v>
      </c>
      <c r="J51" s="97"/>
      <c r="K51" s="97">
        <v>1132</v>
      </c>
      <c r="L51" s="97"/>
      <c r="M51" s="97"/>
      <c r="N51" s="97"/>
      <c r="O51" s="97"/>
      <c r="P51" s="97"/>
      <c r="Q51" s="97"/>
      <c r="R51" s="97"/>
      <c r="S51" s="97"/>
      <c r="T51" s="97"/>
      <c r="U51" s="97"/>
      <c r="V51" s="97"/>
      <c r="W51" s="97"/>
    </row>
    <row r="52" spans="1:23" ht="13.5" customHeight="1" x14ac:dyDescent="0.2">
      <c r="A52" s="154">
        <v>42</v>
      </c>
      <c r="B52" s="155" t="s">
        <v>239</v>
      </c>
      <c r="C52" s="97">
        <f t="shared" si="1"/>
        <v>585</v>
      </c>
      <c r="D52" s="96"/>
      <c r="E52" s="156">
        <v>585</v>
      </c>
      <c r="F52" s="156"/>
      <c r="G52" s="156"/>
      <c r="H52" s="156"/>
      <c r="I52" s="156">
        <f t="shared" si="3"/>
        <v>712</v>
      </c>
      <c r="J52" s="97"/>
      <c r="K52" s="97">
        <v>712</v>
      </c>
      <c r="L52" s="97"/>
      <c r="M52" s="97"/>
      <c r="N52" s="97"/>
      <c r="O52" s="97"/>
      <c r="P52" s="97"/>
      <c r="Q52" s="97"/>
      <c r="R52" s="97"/>
      <c r="S52" s="97"/>
      <c r="T52" s="97"/>
      <c r="U52" s="97"/>
      <c r="V52" s="97"/>
      <c r="W52" s="97"/>
    </row>
    <row r="53" spans="1:23" ht="13.5" customHeight="1" x14ac:dyDescent="0.2">
      <c r="A53" s="154">
        <v>43</v>
      </c>
      <c r="B53" s="155" t="s">
        <v>240</v>
      </c>
      <c r="C53" s="97">
        <f t="shared" si="1"/>
        <v>835</v>
      </c>
      <c r="D53" s="96"/>
      <c r="E53" s="156">
        <v>835</v>
      </c>
      <c r="F53" s="156"/>
      <c r="G53" s="156"/>
      <c r="H53" s="156"/>
      <c r="I53" s="156">
        <f t="shared" si="3"/>
        <v>2000</v>
      </c>
      <c r="J53" s="97"/>
      <c r="K53" s="97">
        <v>2000</v>
      </c>
      <c r="L53" s="97"/>
      <c r="M53" s="97"/>
      <c r="N53" s="97"/>
      <c r="O53" s="97"/>
      <c r="P53" s="97"/>
      <c r="Q53" s="97"/>
      <c r="R53" s="97"/>
      <c r="S53" s="97"/>
      <c r="T53" s="97"/>
      <c r="U53" s="97"/>
      <c r="V53" s="97"/>
      <c r="W53" s="97"/>
    </row>
    <row r="54" spans="1:23" ht="13.5" customHeight="1" x14ac:dyDescent="0.2">
      <c r="A54" s="154">
        <v>44</v>
      </c>
      <c r="B54" s="155" t="s">
        <v>241</v>
      </c>
      <c r="C54" s="97">
        <f t="shared" si="1"/>
        <v>2699</v>
      </c>
      <c r="D54" s="96"/>
      <c r="E54" s="156">
        <v>2699</v>
      </c>
      <c r="F54" s="156"/>
      <c r="G54" s="156"/>
      <c r="H54" s="156"/>
      <c r="I54" s="156">
        <f t="shared" si="3"/>
        <v>6207</v>
      </c>
      <c r="J54" s="97"/>
      <c r="K54" s="97">
        <v>6207</v>
      </c>
      <c r="L54" s="97"/>
      <c r="M54" s="97"/>
      <c r="N54" s="97"/>
      <c r="O54" s="97"/>
      <c r="P54" s="97"/>
      <c r="Q54" s="97"/>
      <c r="R54" s="97"/>
      <c r="S54" s="97"/>
      <c r="T54" s="97"/>
      <c r="U54" s="97"/>
      <c r="V54" s="97"/>
      <c r="W54" s="97"/>
    </row>
    <row r="55" spans="1:23" ht="13.5" customHeight="1" x14ac:dyDescent="0.2">
      <c r="A55" s="154">
        <v>45</v>
      </c>
      <c r="B55" s="155" t="s">
        <v>242</v>
      </c>
      <c r="C55" s="97">
        <f t="shared" si="1"/>
        <v>270</v>
      </c>
      <c r="D55" s="96"/>
      <c r="E55" s="156">
        <v>270</v>
      </c>
      <c r="F55" s="156"/>
      <c r="G55" s="156"/>
      <c r="H55" s="156"/>
      <c r="I55" s="156">
        <f t="shared" si="3"/>
        <v>285</v>
      </c>
      <c r="J55" s="97"/>
      <c r="K55" s="97">
        <v>285</v>
      </c>
      <c r="L55" s="97"/>
      <c r="M55" s="97"/>
      <c r="N55" s="97"/>
      <c r="O55" s="97"/>
      <c r="P55" s="97"/>
      <c r="Q55" s="97"/>
      <c r="R55" s="97"/>
      <c r="S55" s="97"/>
      <c r="T55" s="97"/>
      <c r="U55" s="97"/>
      <c r="V55" s="97"/>
      <c r="W55" s="97"/>
    </row>
    <row r="56" spans="1:23" ht="13.5" customHeight="1" x14ac:dyDescent="0.2">
      <c r="A56" s="154">
        <v>46</v>
      </c>
      <c r="B56" s="155" t="s">
        <v>243</v>
      </c>
      <c r="C56" s="97">
        <f t="shared" si="1"/>
        <v>426</v>
      </c>
      <c r="D56" s="96"/>
      <c r="E56" s="156">
        <v>426</v>
      </c>
      <c r="F56" s="156"/>
      <c r="G56" s="156"/>
      <c r="H56" s="156"/>
      <c r="I56" s="156">
        <f t="shared" si="3"/>
        <v>526</v>
      </c>
      <c r="J56" s="97"/>
      <c r="K56" s="97">
        <v>526</v>
      </c>
      <c r="L56" s="97"/>
      <c r="M56" s="97"/>
      <c r="N56" s="97"/>
      <c r="O56" s="97"/>
      <c r="P56" s="97"/>
      <c r="Q56" s="97"/>
      <c r="R56" s="97"/>
      <c r="S56" s="97"/>
      <c r="T56" s="97"/>
      <c r="U56" s="97"/>
      <c r="V56" s="97"/>
      <c r="W56" s="97"/>
    </row>
    <row r="57" spans="1:23" ht="13.5" customHeight="1" x14ac:dyDescent="0.2">
      <c r="A57" s="154">
        <v>47</v>
      </c>
      <c r="B57" s="155" t="s">
        <v>244</v>
      </c>
      <c r="C57" s="97">
        <f t="shared" si="1"/>
        <v>340</v>
      </c>
      <c r="D57" s="96"/>
      <c r="E57" s="156">
        <v>340</v>
      </c>
      <c r="F57" s="156"/>
      <c r="G57" s="156"/>
      <c r="H57" s="156"/>
      <c r="I57" s="156">
        <f t="shared" si="3"/>
        <v>415</v>
      </c>
      <c r="J57" s="97"/>
      <c r="K57" s="97">
        <v>415</v>
      </c>
      <c r="L57" s="97"/>
      <c r="M57" s="97"/>
      <c r="N57" s="97"/>
      <c r="O57" s="97"/>
      <c r="P57" s="97"/>
      <c r="Q57" s="97"/>
      <c r="R57" s="97"/>
      <c r="S57" s="97"/>
      <c r="T57" s="97"/>
      <c r="U57" s="97"/>
      <c r="V57" s="97"/>
      <c r="W57" s="97"/>
    </row>
    <row r="58" spans="1:23" ht="13.5" customHeight="1" x14ac:dyDescent="0.2">
      <c r="A58" s="154">
        <v>48</v>
      </c>
      <c r="B58" s="155" t="s">
        <v>245</v>
      </c>
      <c r="C58" s="97">
        <f t="shared" si="1"/>
        <v>382</v>
      </c>
      <c r="D58" s="96"/>
      <c r="E58" s="156">
        <v>382</v>
      </c>
      <c r="F58" s="156"/>
      <c r="G58" s="156"/>
      <c r="H58" s="156"/>
      <c r="I58" s="156">
        <f t="shared" si="3"/>
        <v>443</v>
      </c>
      <c r="J58" s="97"/>
      <c r="K58" s="97">
        <v>443</v>
      </c>
      <c r="L58" s="97"/>
      <c r="M58" s="97"/>
      <c r="N58" s="97"/>
      <c r="O58" s="97"/>
      <c r="P58" s="97"/>
      <c r="Q58" s="97"/>
      <c r="R58" s="97"/>
      <c r="S58" s="97"/>
      <c r="T58" s="97"/>
      <c r="U58" s="97"/>
      <c r="V58" s="97"/>
      <c r="W58" s="97"/>
    </row>
    <row r="59" spans="1:23" ht="13.5" customHeight="1" x14ac:dyDescent="0.2">
      <c r="A59" s="154">
        <v>49</v>
      </c>
      <c r="B59" s="155" t="s">
        <v>250</v>
      </c>
      <c r="C59" s="97">
        <f t="shared" si="1"/>
        <v>0</v>
      </c>
      <c r="D59" s="96"/>
      <c r="E59" s="156"/>
      <c r="F59" s="156"/>
      <c r="G59" s="156"/>
      <c r="H59" s="156"/>
      <c r="I59" s="156">
        <f t="shared" si="3"/>
        <v>22500</v>
      </c>
      <c r="J59" s="97"/>
      <c r="K59" s="97">
        <v>22500</v>
      </c>
      <c r="L59" s="97"/>
      <c r="M59" s="97"/>
      <c r="N59" s="97"/>
      <c r="O59" s="97"/>
      <c r="P59" s="97"/>
      <c r="Q59" s="97"/>
      <c r="R59" s="97"/>
      <c r="S59" s="97"/>
      <c r="T59" s="97"/>
      <c r="U59" s="97"/>
      <c r="V59" s="97"/>
      <c r="W59" s="97"/>
    </row>
    <row r="60" spans="1:23" ht="13.5" customHeight="1" x14ac:dyDescent="0.2">
      <c r="A60" s="154">
        <v>50</v>
      </c>
      <c r="B60" s="155" t="s">
        <v>249</v>
      </c>
      <c r="C60" s="97">
        <f t="shared" si="1"/>
        <v>0</v>
      </c>
      <c r="D60" s="96"/>
      <c r="E60" s="156"/>
      <c r="F60" s="156"/>
      <c r="G60" s="156"/>
      <c r="H60" s="156"/>
      <c r="I60" s="156">
        <f t="shared" si="3"/>
        <v>43</v>
      </c>
      <c r="J60" s="97"/>
      <c r="K60" s="97">
        <v>43</v>
      </c>
      <c r="L60" s="97"/>
      <c r="M60" s="97"/>
      <c r="N60" s="97"/>
      <c r="O60" s="97"/>
      <c r="P60" s="97"/>
      <c r="Q60" s="97"/>
      <c r="R60" s="97"/>
      <c r="S60" s="97"/>
      <c r="T60" s="97"/>
      <c r="U60" s="97"/>
      <c r="V60" s="97"/>
      <c r="W60" s="97"/>
    </row>
    <row r="61" spans="1:23" ht="13.5" customHeight="1" x14ac:dyDescent="0.2">
      <c r="A61" s="154">
        <v>51</v>
      </c>
      <c r="B61" s="155" t="s">
        <v>251</v>
      </c>
      <c r="C61" s="97">
        <f t="shared" si="1"/>
        <v>1424</v>
      </c>
      <c r="D61" s="96"/>
      <c r="E61" s="156">
        <v>1424</v>
      </c>
      <c r="F61" s="156"/>
      <c r="G61" s="156"/>
      <c r="H61" s="156"/>
      <c r="I61" s="156">
        <f t="shared" si="3"/>
        <v>1795</v>
      </c>
      <c r="J61" s="97"/>
      <c r="K61" s="97">
        <v>1795</v>
      </c>
      <c r="L61" s="97"/>
      <c r="M61" s="97"/>
      <c r="N61" s="97">
        <f t="shared" si="4"/>
        <v>0</v>
      </c>
      <c r="O61" s="97"/>
      <c r="P61" s="97"/>
      <c r="Q61" s="97"/>
      <c r="R61" s="97"/>
      <c r="S61" s="97"/>
      <c r="T61" s="97"/>
      <c r="U61" s="97"/>
      <c r="V61" s="97"/>
      <c r="W61" s="97"/>
    </row>
    <row r="62" spans="1:23" ht="13.5" customHeight="1" x14ac:dyDescent="0.2">
      <c r="A62" s="154">
        <v>52</v>
      </c>
      <c r="B62" s="155" t="s">
        <v>561</v>
      </c>
      <c r="C62" s="97">
        <f t="shared" si="1"/>
        <v>0</v>
      </c>
      <c r="D62" s="97"/>
      <c r="E62" s="156"/>
      <c r="F62" s="156"/>
      <c r="G62" s="156"/>
      <c r="H62" s="156"/>
      <c r="I62" s="156">
        <f>J62+K62+N62</f>
        <v>491691</v>
      </c>
      <c r="J62" s="97">
        <f>822345-512971</f>
        <v>309374</v>
      </c>
      <c r="K62" s="97">
        <f>148+69117+115624-2672</f>
        <v>182217</v>
      </c>
      <c r="L62" s="97"/>
      <c r="M62" s="97"/>
      <c r="N62" s="97">
        <f t="shared" si="4"/>
        <v>100</v>
      </c>
      <c r="O62" s="97"/>
      <c r="P62" s="97">
        <v>100</v>
      </c>
      <c r="Q62" s="97"/>
      <c r="R62" s="97"/>
      <c r="S62" s="97"/>
      <c r="T62" s="97"/>
      <c r="U62" s="97"/>
      <c r="V62" s="97"/>
      <c r="W62" s="97"/>
    </row>
    <row r="63" spans="1:23" ht="13.5" customHeight="1" x14ac:dyDescent="0.2">
      <c r="A63" s="154">
        <v>53</v>
      </c>
      <c r="B63" s="155" t="s">
        <v>246</v>
      </c>
      <c r="C63" s="97">
        <f>D63+E63+F63+G63</f>
        <v>1689190</v>
      </c>
      <c r="D63" s="97"/>
      <c r="E63" s="156">
        <f>427613+12300</f>
        <v>439913</v>
      </c>
      <c r="F63" s="156">
        <v>101917</v>
      </c>
      <c r="G63" s="156">
        <v>1147360</v>
      </c>
      <c r="H63" s="156"/>
      <c r="I63" s="156">
        <f>J63+K63+N63+R63+T63</f>
        <v>1201298</v>
      </c>
      <c r="J63" s="97">
        <v>132762</v>
      </c>
      <c r="K63" s="97">
        <f>934754-396496-100+12942-118-2</f>
        <v>550980</v>
      </c>
      <c r="L63" s="97"/>
      <c r="M63" s="97"/>
      <c r="N63" s="97"/>
      <c r="O63" s="97"/>
      <c r="P63" s="97"/>
      <c r="Q63" s="97"/>
      <c r="R63" s="97">
        <v>516474</v>
      </c>
      <c r="S63" s="97"/>
      <c r="T63" s="97">
        <v>1082</v>
      </c>
      <c r="U63" s="97"/>
      <c r="V63" s="97"/>
      <c r="W63" s="97"/>
    </row>
    <row r="64" spans="1:23" ht="30" customHeight="1" x14ac:dyDescent="0.2">
      <c r="A64" s="148" t="s">
        <v>7</v>
      </c>
      <c r="B64" s="157" t="s">
        <v>296</v>
      </c>
      <c r="C64" s="94">
        <f>D64+E64</f>
        <v>600</v>
      </c>
      <c r="D64" s="96"/>
      <c r="E64" s="153">
        <v>600</v>
      </c>
      <c r="F64" s="153"/>
      <c r="G64" s="156"/>
      <c r="H64" s="153"/>
      <c r="I64" s="153">
        <f>L64</f>
        <v>988</v>
      </c>
      <c r="J64" s="94"/>
      <c r="K64" s="94"/>
      <c r="L64" s="94">
        <v>988</v>
      </c>
      <c r="M64" s="94"/>
      <c r="N64" s="97"/>
      <c r="O64" s="97"/>
      <c r="P64" s="97"/>
      <c r="Q64" s="97"/>
      <c r="R64" s="97"/>
      <c r="S64" s="97"/>
      <c r="T64" s="97"/>
      <c r="U64" s="97"/>
      <c r="V64" s="97"/>
      <c r="W64" s="97"/>
    </row>
    <row r="65" spans="1:23" ht="21.75" customHeight="1" x14ac:dyDescent="0.2">
      <c r="A65" s="148" t="s">
        <v>8</v>
      </c>
      <c r="B65" s="158" t="s">
        <v>294</v>
      </c>
      <c r="C65" s="94">
        <f>D65+E65</f>
        <v>1000</v>
      </c>
      <c r="D65" s="96"/>
      <c r="E65" s="153">
        <v>1000</v>
      </c>
      <c r="F65" s="153"/>
      <c r="G65" s="156"/>
      <c r="H65" s="153"/>
      <c r="I65" s="153">
        <v>1000</v>
      </c>
      <c r="J65" s="94"/>
      <c r="K65" s="94"/>
      <c r="L65" s="94"/>
      <c r="M65" s="94">
        <v>1000</v>
      </c>
      <c r="N65" s="97"/>
      <c r="O65" s="97"/>
      <c r="P65" s="97"/>
      <c r="Q65" s="97"/>
      <c r="R65" s="97"/>
      <c r="S65" s="97"/>
      <c r="T65" s="97"/>
      <c r="U65" s="97"/>
      <c r="V65" s="97"/>
      <c r="W65" s="97"/>
    </row>
    <row r="66" spans="1:23" ht="15.75" customHeight="1" x14ac:dyDescent="0.2">
      <c r="A66" s="148" t="s">
        <v>9</v>
      </c>
      <c r="B66" s="152" t="s">
        <v>125</v>
      </c>
      <c r="C66" s="94">
        <f t="shared" ref="C66:C67" si="5">D66+E66</f>
        <v>80343</v>
      </c>
      <c r="D66" s="96"/>
      <c r="E66" s="153">
        <v>80343</v>
      </c>
      <c r="F66" s="153"/>
      <c r="G66" s="156"/>
      <c r="H66" s="153"/>
      <c r="I66" s="153"/>
      <c r="J66" s="94"/>
      <c r="K66" s="94"/>
      <c r="L66" s="94"/>
      <c r="M66" s="94"/>
      <c r="N66" s="97"/>
      <c r="O66" s="97"/>
      <c r="P66" s="97"/>
      <c r="Q66" s="97"/>
      <c r="R66" s="97"/>
      <c r="S66" s="97"/>
      <c r="T66" s="97"/>
      <c r="U66" s="97"/>
      <c r="V66" s="97"/>
      <c r="W66" s="97"/>
    </row>
    <row r="67" spans="1:23" ht="24.75" customHeight="1" x14ac:dyDescent="0.2">
      <c r="A67" s="148" t="s">
        <v>23</v>
      </c>
      <c r="B67" s="152" t="s">
        <v>126</v>
      </c>
      <c r="C67" s="94">
        <f t="shared" si="5"/>
        <v>0</v>
      </c>
      <c r="D67" s="96"/>
      <c r="E67" s="156"/>
      <c r="F67" s="156"/>
      <c r="G67" s="156"/>
      <c r="H67" s="156"/>
      <c r="I67" s="156"/>
      <c r="J67" s="97"/>
      <c r="K67" s="97"/>
      <c r="L67" s="97"/>
      <c r="M67" s="97"/>
      <c r="N67" s="97"/>
      <c r="O67" s="97"/>
      <c r="P67" s="97"/>
      <c r="Q67" s="97"/>
      <c r="R67" s="97"/>
      <c r="S67" s="97"/>
      <c r="T67" s="97"/>
      <c r="U67" s="97"/>
      <c r="V67" s="97"/>
      <c r="W67" s="97"/>
    </row>
    <row r="68" spans="1:23" ht="23.25" customHeight="1" x14ac:dyDescent="0.2">
      <c r="A68" s="148" t="s">
        <v>92</v>
      </c>
      <c r="B68" s="152" t="s">
        <v>247</v>
      </c>
      <c r="C68" s="94">
        <f>H68</f>
        <v>2458642</v>
      </c>
      <c r="D68" s="96"/>
      <c r="E68" s="153"/>
      <c r="F68" s="153"/>
      <c r="G68" s="153"/>
      <c r="H68" s="153">
        <v>2458642</v>
      </c>
      <c r="I68" s="153">
        <v>2933208</v>
      </c>
      <c r="J68" s="97"/>
      <c r="K68" s="94"/>
      <c r="L68" s="97"/>
      <c r="M68" s="97"/>
      <c r="N68" s="97"/>
      <c r="O68" s="97"/>
      <c r="P68" s="97"/>
      <c r="Q68" s="97"/>
      <c r="R68" s="97"/>
      <c r="S68" s="94">
        <v>2933208</v>
      </c>
      <c r="T68" s="94"/>
      <c r="U68" s="97"/>
      <c r="V68" s="97"/>
      <c r="W68" s="97"/>
    </row>
    <row r="69" spans="1:23" ht="24" customHeight="1" x14ac:dyDescent="0.2">
      <c r="A69" s="149" t="s">
        <v>127</v>
      </c>
      <c r="B69" s="159" t="s">
        <v>121</v>
      </c>
      <c r="C69" s="160"/>
      <c r="D69" s="160"/>
      <c r="E69" s="161"/>
      <c r="F69" s="161"/>
      <c r="G69" s="161"/>
      <c r="H69" s="161"/>
      <c r="I69" s="162">
        <v>2957467</v>
      </c>
      <c r="J69" s="104"/>
      <c r="K69" s="104"/>
      <c r="L69" s="104"/>
      <c r="M69" s="104"/>
      <c r="N69" s="104"/>
      <c r="O69" s="104"/>
      <c r="P69" s="104"/>
      <c r="Q69" s="103">
        <v>2957467</v>
      </c>
      <c r="R69" s="103"/>
      <c r="S69" s="103"/>
      <c r="T69" s="103"/>
      <c r="U69" s="104"/>
      <c r="V69" s="104"/>
      <c r="W69" s="104"/>
    </row>
    <row r="70" spans="1:23" s="164" customFormat="1" ht="13.5" customHeight="1" x14ac:dyDescent="0.2">
      <c r="A70" s="105" t="s">
        <v>181</v>
      </c>
      <c r="B70" s="163" t="s">
        <v>257</v>
      </c>
      <c r="I70" s="165">
        <v>1082</v>
      </c>
      <c r="Q70" s="163"/>
      <c r="R70" s="163"/>
      <c r="S70" s="163"/>
      <c r="T70" s="165">
        <v>1082</v>
      </c>
    </row>
    <row r="71" spans="1:23" x14ac:dyDescent="0.2">
      <c r="A71" s="99"/>
    </row>
    <row r="72" spans="1:23" x14ac:dyDescent="0.2">
      <c r="A72" s="99"/>
    </row>
    <row r="73" spans="1:23" x14ac:dyDescent="0.2">
      <c r="A73" s="99"/>
    </row>
    <row r="74" spans="1:23" x14ac:dyDescent="0.2">
      <c r="A74" s="100"/>
    </row>
    <row r="75" spans="1:23" x14ac:dyDescent="0.2">
      <c r="A75" s="166"/>
    </row>
    <row r="76" spans="1:23" x14ac:dyDescent="0.2">
      <c r="A76" s="166"/>
    </row>
    <row r="77" spans="1:23" x14ac:dyDescent="0.2">
      <c r="A77" s="166"/>
    </row>
    <row r="78" spans="1:23" x14ac:dyDescent="0.2">
      <c r="A78" s="166"/>
    </row>
    <row r="79" spans="1:23" x14ac:dyDescent="0.2">
      <c r="A79" s="166"/>
    </row>
    <row r="80" spans="1:23" x14ac:dyDescent="0.2">
      <c r="A80" s="166"/>
    </row>
    <row r="81" spans="1:1" x14ac:dyDescent="0.2">
      <c r="A81" s="166"/>
    </row>
    <row r="82" spans="1:1" x14ac:dyDescent="0.2">
      <c r="A82" s="166"/>
    </row>
    <row r="83" spans="1:1" x14ac:dyDescent="0.2">
      <c r="A83" s="166"/>
    </row>
    <row r="84" spans="1:1" x14ac:dyDescent="0.2">
      <c r="A84" s="166"/>
    </row>
    <row r="85" spans="1:1" x14ac:dyDescent="0.2">
      <c r="A85" s="166"/>
    </row>
  </sheetData>
  <mergeCells count="26">
    <mergeCell ref="W6:W7"/>
    <mergeCell ref="R5:R7"/>
    <mergeCell ref="S5:S7"/>
    <mergeCell ref="A2:W2"/>
    <mergeCell ref="A3:W3"/>
    <mergeCell ref="K6:K7"/>
    <mergeCell ref="L6:L7"/>
    <mergeCell ref="N6:P6"/>
    <mergeCell ref="Q6:Q7"/>
    <mergeCell ref="U6:U7"/>
    <mergeCell ref="A5:A7"/>
    <mergeCell ref="B5:B7"/>
    <mergeCell ref="I5:Q5"/>
    <mergeCell ref="G6:G7"/>
    <mergeCell ref="U5:W5"/>
    <mergeCell ref="C6:C7"/>
    <mergeCell ref="H6:H7"/>
    <mergeCell ref="C5:H5"/>
    <mergeCell ref="I6:I7"/>
    <mergeCell ref="J6:J7"/>
    <mergeCell ref="V6:V7"/>
    <mergeCell ref="D6:D7"/>
    <mergeCell ref="E6:E7"/>
    <mergeCell ref="F6:F7"/>
    <mergeCell ref="T5:T7"/>
    <mergeCell ref="M6:M7"/>
  </mergeCells>
  <pageMargins left="0.24" right="0.15748031496063" top="0.74803149606299202" bottom="0.74803149606299202" header="0.31496062992126" footer="0.31496062992126"/>
  <pageSetup paperSize="9" scale="7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5"/>
  <sheetViews>
    <sheetView zoomScale="70" zoomScaleNormal="70" workbookViewId="0">
      <selection activeCell="A4" sqref="A4:S4"/>
    </sheetView>
  </sheetViews>
  <sheetFormatPr defaultRowHeight="15" x14ac:dyDescent="0.25"/>
  <cols>
    <col min="1" max="1" width="3.28515625" customWidth="1"/>
    <col min="2" max="2" width="19.28515625" customWidth="1"/>
    <col min="3" max="3" width="11.140625" customWidth="1"/>
    <col min="4" max="4" width="9.85546875" customWidth="1"/>
    <col min="5" max="5" width="10.42578125" customWidth="1"/>
    <col min="6" max="6" width="11.140625" customWidth="1"/>
    <col min="7" max="7" width="9.7109375" customWidth="1"/>
    <col min="8" max="8" width="8.5703125" customWidth="1"/>
    <col min="9" max="9" width="8.7109375" customWidth="1"/>
    <col min="10" max="10" width="11.140625" customWidth="1"/>
    <col min="11" max="11" width="9.7109375" customWidth="1"/>
    <col min="12" max="12" width="9.140625" customWidth="1"/>
    <col min="13" max="13" width="10.28515625" customWidth="1"/>
    <col min="14" max="14" width="8.42578125" customWidth="1"/>
    <col min="15" max="16" width="8.5703125" customWidth="1"/>
    <col min="17" max="17" width="8.28515625" customWidth="1"/>
    <col min="18" max="18" width="8.5703125" customWidth="1"/>
    <col min="19" max="19" width="7.7109375" customWidth="1"/>
  </cols>
  <sheetData>
    <row r="1" spans="1:21" ht="15.75" x14ac:dyDescent="0.25">
      <c r="R1" s="77"/>
      <c r="S1" s="1" t="s">
        <v>649</v>
      </c>
    </row>
    <row r="2" spans="1:21" ht="15.75" x14ac:dyDescent="0.25">
      <c r="S2" s="1"/>
    </row>
    <row r="3" spans="1:21" ht="15.75" x14ac:dyDescent="0.25">
      <c r="A3" s="168" t="s">
        <v>587</v>
      </c>
      <c r="B3" s="168"/>
      <c r="C3" s="168"/>
      <c r="D3" s="168"/>
      <c r="E3" s="168"/>
      <c r="F3" s="168"/>
      <c r="G3" s="168"/>
      <c r="H3" s="168"/>
      <c r="I3" s="168"/>
      <c r="J3" s="168"/>
      <c r="K3" s="168"/>
      <c r="L3" s="168"/>
      <c r="M3" s="168"/>
      <c r="N3" s="168"/>
      <c r="O3" s="168"/>
      <c r="P3" s="168"/>
      <c r="Q3" s="168"/>
      <c r="R3" s="168"/>
      <c r="S3" s="168"/>
    </row>
    <row r="4" spans="1:21" ht="15.75" x14ac:dyDescent="0.25">
      <c r="A4" s="169" t="s">
        <v>660</v>
      </c>
      <c r="B4" s="169"/>
      <c r="C4" s="169"/>
      <c r="D4" s="169"/>
      <c r="E4" s="169"/>
      <c r="F4" s="169"/>
      <c r="G4" s="169"/>
      <c r="H4" s="169"/>
      <c r="I4" s="169"/>
      <c r="J4" s="169"/>
      <c r="K4" s="169"/>
      <c r="L4" s="169"/>
      <c r="M4" s="169"/>
      <c r="N4" s="169"/>
      <c r="O4" s="169"/>
      <c r="P4" s="169"/>
      <c r="Q4" s="169"/>
      <c r="R4" s="169"/>
      <c r="S4" s="169"/>
      <c r="T4" s="62"/>
      <c r="U4" s="62"/>
    </row>
    <row r="5" spans="1:21" ht="15.75" x14ac:dyDescent="0.25">
      <c r="A5" s="76"/>
      <c r="B5" s="76"/>
      <c r="C5" s="76"/>
      <c r="D5" s="76"/>
      <c r="E5" s="76"/>
      <c r="F5" s="76"/>
      <c r="G5" s="76"/>
      <c r="H5" s="76"/>
      <c r="I5" s="76"/>
      <c r="J5" s="76"/>
      <c r="K5" s="76"/>
      <c r="L5" s="76"/>
      <c r="M5" s="76"/>
      <c r="N5" s="76"/>
      <c r="O5" s="76"/>
      <c r="P5" s="76"/>
      <c r="Q5" s="76"/>
      <c r="R5" s="76"/>
      <c r="S5" s="76"/>
      <c r="T5" s="62"/>
      <c r="U5" s="62"/>
    </row>
    <row r="6" spans="1:21" ht="15.75" x14ac:dyDescent="0.25">
      <c r="S6" s="2" t="s">
        <v>5</v>
      </c>
    </row>
    <row r="7" spans="1:21" ht="17.25" customHeight="1" x14ac:dyDescent="0.25">
      <c r="A7" s="171" t="s">
        <v>0</v>
      </c>
      <c r="B7" s="171" t="s">
        <v>28</v>
      </c>
      <c r="C7" s="171" t="s">
        <v>124</v>
      </c>
      <c r="D7" s="171"/>
      <c r="E7" s="171"/>
      <c r="F7" s="171" t="s">
        <v>134</v>
      </c>
      <c r="G7" s="171"/>
      <c r="H7" s="171"/>
      <c r="I7" s="171"/>
      <c r="J7" s="171"/>
      <c r="K7" s="171"/>
      <c r="L7" s="171"/>
      <c r="M7" s="171"/>
      <c r="N7" s="171"/>
      <c r="O7" s="171"/>
      <c r="P7" s="171"/>
      <c r="Q7" s="171" t="s">
        <v>68</v>
      </c>
      <c r="R7" s="171"/>
      <c r="S7" s="171"/>
    </row>
    <row r="8" spans="1:21" ht="15.75" x14ac:dyDescent="0.25">
      <c r="A8" s="171"/>
      <c r="B8" s="171"/>
      <c r="C8" s="171" t="s">
        <v>24</v>
      </c>
      <c r="D8" s="171" t="s">
        <v>66</v>
      </c>
      <c r="E8" s="171" t="s">
        <v>15</v>
      </c>
      <c r="F8" s="171" t="s">
        <v>24</v>
      </c>
      <c r="G8" s="171" t="s">
        <v>66</v>
      </c>
      <c r="H8" s="171"/>
      <c r="I8" s="171"/>
      <c r="J8" s="171" t="s">
        <v>15</v>
      </c>
      <c r="K8" s="171"/>
      <c r="L8" s="171"/>
      <c r="M8" s="171" t="s">
        <v>154</v>
      </c>
      <c r="N8" s="171"/>
      <c r="O8" s="171"/>
      <c r="P8" s="171" t="s">
        <v>42</v>
      </c>
      <c r="Q8" s="171" t="s">
        <v>24</v>
      </c>
      <c r="R8" s="171" t="s">
        <v>66</v>
      </c>
      <c r="S8" s="171" t="s">
        <v>15</v>
      </c>
    </row>
    <row r="9" spans="1:21" ht="15.75" x14ac:dyDescent="0.25">
      <c r="A9" s="171"/>
      <c r="B9" s="171"/>
      <c r="C9" s="171"/>
      <c r="D9" s="171"/>
      <c r="E9" s="171"/>
      <c r="F9" s="171"/>
      <c r="G9" s="171" t="s">
        <v>24</v>
      </c>
      <c r="H9" s="171" t="s">
        <v>29</v>
      </c>
      <c r="I9" s="171"/>
      <c r="J9" s="171" t="s">
        <v>24</v>
      </c>
      <c r="K9" s="171" t="s">
        <v>29</v>
      </c>
      <c r="L9" s="171"/>
      <c r="M9" s="171" t="s">
        <v>24</v>
      </c>
      <c r="N9" s="171" t="s">
        <v>29</v>
      </c>
      <c r="O9" s="171"/>
      <c r="P9" s="171"/>
      <c r="Q9" s="171"/>
      <c r="R9" s="171"/>
      <c r="S9" s="171"/>
    </row>
    <row r="10" spans="1:21" ht="78.75" x14ac:dyDescent="0.25">
      <c r="A10" s="171"/>
      <c r="B10" s="171"/>
      <c r="C10" s="171"/>
      <c r="D10" s="171"/>
      <c r="E10" s="171"/>
      <c r="F10" s="171"/>
      <c r="G10" s="171"/>
      <c r="H10" s="5" t="s">
        <v>155</v>
      </c>
      <c r="I10" s="5" t="s">
        <v>87</v>
      </c>
      <c r="J10" s="171"/>
      <c r="K10" s="5" t="s">
        <v>155</v>
      </c>
      <c r="L10" s="5" t="s">
        <v>122</v>
      </c>
      <c r="M10" s="171"/>
      <c r="N10" s="5" t="s">
        <v>66</v>
      </c>
      <c r="O10" s="5" t="s">
        <v>15</v>
      </c>
      <c r="P10" s="171"/>
      <c r="Q10" s="171"/>
      <c r="R10" s="171"/>
      <c r="S10" s="171"/>
    </row>
    <row r="11" spans="1:21" ht="31.5" x14ac:dyDescent="0.25">
      <c r="A11" s="5" t="s">
        <v>2</v>
      </c>
      <c r="B11" s="5" t="s">
        <v>3</v>
      </c>
      <c r="C11" s="5">
        <v>1</v>
      </c>
      <c r="D11" s="5">
        <v>2</v>
      </c>
      <c r="E11" s="5">
        <v>3</v>
      </c>
      <c r="F11" s="5" t="s">
        <v>556</v>
      </c>
      <c r="G11" s="5">
        <v>5</v>
      </c>
      <c r="H11" s="5">
        <v>6</v>
      </c>
      <c r="I11" s="5">
        <v>7</v>
      </c>
      <c r="J11" s="5">
        <v>8</v>
      </c>
      <c r="K11" s="5">
        <v>9</v>
      </c>
      <c r="L11" s="5">
        <v>10</v>
      </c>
      <c r="M11" s="5">
        <v>11</v>
      </c>
      <c r="N11" s="5">
        <v>12</v>
      </c>
      <c r="O11" s="5">
        <v>13</v>
      </c>
      <c r="P11" s="5">
        <v>14</v>
      </c>
      <c r="Q11" s="5" t="s">
        <v>156</v>
      </c>
      <c r="R11" s="5" t="s">
        <v>157</v>
      </c>
      <c r="S11" s="5" t="s">
        <v>554</v>
      </c>
    </row>
    <row r="12" spans="1:21" ht="18.75" customHeight="1" x14ac:dyDescent="0.25">
      <c r="A12" s="6"/>
      <c r="B12" s="138" t="s">
        <v>25</v>
      </c>
      <c r="C12" s="18">
        <f t="shared" ref="C12:H12" si="0">SUM(C13:C22)</f>
        <v>3545387</v>
      </c>
      <c r="D12" s="18">
        <f t="shared" si="0"/>
        <v>192000</v>
      </c>
      <c r="E12" s="18">
        <f t="shared" si="0"/>
        <v>3353387</v>
      </c>
      <c r="F12" s="18">
        <f t="shared" si="0"/>
        <v>5284644</v>
      </c>
      <c r="G12" s="18">
        <f t="shared" si="0"/>
        <v>715294</v>
      </c>
      <c r="H12" s="18">
        <f t="shared" si="0"/>
        <v>193553</v>
      </c>
      <c r="I12" s="30"/>
      <c r="J12" s="18">
        <f t="shared" ref="J12:P12" si="1">SUM(J13:J22)</f>
        <v>3568865</v>
      </c>
      <c r="K12" s="67">
        <f t="shared" si="1"/>
        <v>2068825</v>
      </c>
      <c r="L12" s="18">
        <f t="shared" si="1"/>
        <v>1227</v>
      </c>
      <c r="M12" s="18">
        <f t="shared" si="1"/>
        <v>78762</v>
      </c>
      <c r="N12" s="18">
        <f t="shared" si="1"/>
        <v>63860</v>
      </c>
      <c r="O12" s="18">
        <f t="shared" si="1"/>
        <v>14902</v>
      </c>
      <c r="P12" s="18">
        <f t="shared" si="1"/>
        <v>921723</v>
      </c>
      <c r="Q12" s="22">
        <f>F12/C12*100</f>
        <v>149.0569012635292</v>
      </c>
      <c r="R12" s="22">
        <f>G12/D12*100</f>
        <v>372.5489583333333</v>
      </c>
      <c r="S12" s="22">
        <f>J12/E12*100</f>
        <v>106.42568245180171</v>
      </c>
    </row>
    <row r="13" spans="1:21" ht="18.75" customHeight="1" x14ac:dyDescent="0.25">
      <c r="A13" s="4">
        <v>1</v>
      </c>
      <c r="B13" s="65" t="s">
        <v>265</v>
      </c>
      <c r="C13" s="17">
        <f>D13+E13</f>
        <v>507300</v>
      </c>
      <c r="D13" s="17">
        <v>27400</v>
      </c>
      <c r="E13" s="17">
        <f>507300-27400</f>
        <v>479900</v>
      </c>
      <c r="F13" s="17">
        <f>G13+J13+M13+P13</f>
        <v>942520</v>
      </c>
      <c r="G13" s="17">
        <f>124377+4755-N13</f>
        <v>126418</v>
      </c>
      <c r="H13" s="17">
        <v>50149</v>
      </c>
      <c r="I13" s="17"/>
      <c r="J13" s="17">
        <f>448278+88091-O13</f>
        <v>535779</v>
      </c>
      <c r="K13" s="17">
        <v>259264</v>
      </c>
      <c r="L13" s="17"/>
      <c r="M13" s="17">
        <f>N13+O13</f>
        <v>3304</v>
      </c>
      <c r="N13" s="17">
        <v>2714</v>
      </c>
      <c r="O13" s="17">
        <v>590</v>
      </c>
      <c r="P13" s="17">
        <f>270109+6910</f>
        <v>277019</v>
      </c>
      <c r="Q13" s="25">
        <f>F13/C13*100</f>
        <v>185.79144490439583</v>
      </c>
      <c r="R13" s="25">
        <f>G13/D13*100</f>
        <v>461.3795620437956</v>
      </c>
      <c r="S13" s="25">
        <f>J13/E13*100</f>
        <v>111.6438841425297</v>
      </c>
    </row>
    <row r="14" spans="1:21" ht="18.75" customHeight="1" x14ac:dyDescent="0.25">
      <c r="A14" s="4">
        <v>2</v>
      </c>
      <c r="B14" s="7" t="s">
        <v>266</v>
      </c>
      <c r="C14" s="17">
        <f>D14+E14</f>
        <v>381861</v>
      </c>
      <c r="D14" s="17">
        <v>32400</v>
      </c>
      <c r="E14" s="17">
        <f>381861-32400</f>
        <v>349461</v>
      </c>
      <c r="F14" s="17">
        <f t="shared" ref="F14:F22" si="2">G14+J14+M14+P14</f>
        <v>504247</v>
      </c>
      <c r="G14" s="17">
        <f>50391+4844-N14</f>
        <v>51073</v>
      </c>
      <c r="H14" s="17">
        <v>6102</v>
      </c>
      <c r="I14" s="17"/>
      <c r="J14" s="17">
        <f>308910+60978-O14</f>
        <v>367873</v>
      </c>
      <c r="K14" s="17">
        <v>224546</v>
      </c>
      <c r="L14" s="17">
        <v>101</v>
      </c>
      <c r="M14" s="17">
        <f t="shared" ref="M14:M22" si="3">N14+O14</f>
        <v>6177</v>
      </c>
      <c r="N14" s="17">
        <v>4162</v>
      </c>
      <c r="O14" s="17">
        <v>2015</v>
      </c>
      <c r="P14" s="17">
        <f>70369+8755</f>
        <v>79124</v>
      </c>
      <c r="Q14" s="25">
        <f t="shared" ref="Q14:Q22" si="4">F14/C14*100</f>
        <v>132.04988202513479</v>
      </c>
      <c r="R14" s="25">
        <f t="shared" ref="R14:R22" si="5">G14/D14*100</f>
        <v>157.63271604938271</v>
      </c>
      <c r="S14" s="25">
        <f t="shared" ref="S14:S22" si="6">J14/E14*100</f>
        <v>105.26868520378525</v>
      </c>
    </row>
    <row r="15" spans="1:21" ht="18.75" customHeight="1" x14ac:dyDescent="0.25">
      <c r="A15" s="4">
        <v>3</v>
      </c>
      <c r="B15" s="147" t="s">
        <v>267</v>
      </c>
      <c r="C15" s="17">
        <f t="shared" ref="C15:C22" si="7">D15+E15</f>
        <v>405565</v>
      </c>
      <c r="D15" s="17">
        <v>19400</v>
      </c>
      <c r="E15" s="17">
        <f>405565-19400</f>
        <v>386165</v>
      </c>
      <c r="F15" s="17">
        <f t="shared" si="2"/>
        <v>575826</v>
      </c>
      <c r="G15" s="17">
        <f>74745+12147-N15</f>
        <v>73523</v>
      </c>
      <c r="H15" s="17">
        <v>20915</v>
      </c>
      <c r="I15" s="17"/>
      <c r="J15" s="17">
        <f>331320+91527-O15+7</f>
        <v>420321</v>
      </c>
      <c r="K15" s="17">
        <f>250229+7</f>
        <v>250236</v>
      </c>
      <c r="L15" s="17"/>
      <c r="M15" s="17">
        <f t="shared" si="3"/>
        <v>15902</v>
      </c>
      <c r="N15" s="17">
        <v>13369</v>
      </c>
      <c r="O15" s="17">
        <v>2533</v>
      </c>
      <c r="P15" s="17">
        <v>66080</v>
      </c>
      <c r="Q15" s="25">
        <f t="shared" si="4"/>
        <v>141.9811867394869</v>
      </c>
      <c r="R15" s="25">
        <f t="shared" si="5"/>
        <v>378.98453608247422</v>
      </c>
      <c r="S15" s="25">
        <f t="shared" si="6"/>
        <v>108.84492380200173</v>
      </c>
    </row>
    <row r="16" spans="1:21" ht="18.75" customHeight="1" x14ac:dyDescent="0.25">
      <c r="A16" s="4">
        <v>4</v>
      </c>
      <c r="B16" s="7" t="s">
        <v>268</v>
      </c>
      <c r="C16" s="17">
        <f t="shared" si="7"/>
        <v>476623</v>
      </c>
      <c r="D16" s="17">
        <v>32400</v>
      </c>
      <c r="E16" s="17">
        <f>476623-32400</f>
        <v>444223</v>
      </c>
      <c r="F16" s="17">
        <f t="shared" si="2"/>
        <v>870845</v>
      </c>
      <c r="G16" s="17">
        <f>150885+8059-N16</f>
        <v>148391</v>
      </c>
      <c r="H16" s="17">
        <v>36718</v>
      </c>
      <c r="I16" s="17"/>
      <c r="J16" s="17">
        <f>397006+96947-O16</f>
        <v>492040</v>
      </c>
      <c r="K16" s="17">
        <v>292247</v>
      </c>
      <c r="L16" s="17">
        <v>170</v>
      </c>
      <c r="M16" s="17">
        <f t="shared" si="3"/>
        <v>12466</v>
      </c>
      <c r="N16" s="17">
        <v>10553</v>
      </c>
      <c r="O16" s="17">
        <v>1913</v>
      </c>
      <c r="P16" s="17">
        <f>204293+13655</f>
        <v>217948</v>
      </c>
      <c r="Q16" s="25">
        <f t="shared" si="4"/>
        <v>182.71149315077116</v>
      </c>
      <c r="R16" s="25">
        <f t="shared" si="5"/>
        <v>457.99691358024688</v>
      </c>
      <c r="S16" s="25">
        <f t="shared" si="6"/>
        <v>110.76418825679895</v>
      </c>
    </row>
    <row r="17" spans="1:19" ht="18.75" customHeight="1" x14ac:dyDescent="0.25">
      <c r="A17" s="4">
        <v>5</v>
      </c>
      <c r="B17" s="7" t="s">
        <v>269</v>
      </c>
      <c r="C17" s="17">
        <f t="shared" si="7"/>
        <v>317048</v>
      </c>
      <c r="D17" s="17">
        <v>22400</v>
      </c>
      <c r="E17" s="17">
        <f>317048-22400</f>
        <v>294648</v>
      </c>
      <c r="F17" s="17">
        <f t="shared" si="2"/>
        <v>429608</v>
      </c>
      <c r="G17" s="17">
        <f>90616+646-N17</f>
        <v>84881</v>
      </c>
      <c r="H17" s="17">
        <v>29043</v>
      </c>
      <c r="I17" s="17"/>
      <c r="J17" s="17">
        <f>237000+56717+879-O17</f>
        <v>292890</v>
      </c>
      <c r="K17" s="17">
        <v>172659</v>
      </c>
      <c r="L17" s="17">
        <v>169</v>
      </c>
      <c r="M17" s="17">
        <f t="shared" si="3"/>
        <v>8087</v>
      </c>
      <c r="N17" s="17">
        <v>6381</v>
      </c>
      <c r="O17" s="17">
        <v>1706</v>
      </c>
      <c r="P17" s="17">
        <v>43750</v>
      </c>
      <c r="Q17" s="25">
        <f t="shared" si="4"/>
        <v>135.5025106608463</v>
      </c>
      <c r="R17" s="25">
        <f t="shared" si="5"/>
        <v>378.93303571428572</v>
      </c>
      <c r="S17" s="25">
        <f t="shared" si="6"/>
        <v>99.40335586869756</v>
      </c>
    </row>
    <row r="18" spans="1:19" ht="18.75" customHeight="1" x14ac:dyDescent="0.25">
      <c r="A18" s="4">
        <v>6</v>
      </c>
      <c r="B18" s="7" t="s">
        <v>270</v>
      </c>
      <c r="C18" s="17">
        <f t="shared" si="7"/>
        <v>293835</v>
      </c>
      <c r="D18" s="17">
        <v>24400</v>
      </c>
      <c r="E18" s="17">
        <f>293835-24400</f>
        <v>269435</v>
      </c>
      <c r="F18" s="17">
        <f t="shared" si="2"/>
        <v>353000</v>
      </c>
      <c r="G18" s="17">
        <f>43153+3059-N18</f>
        <v>43646</v>
      </c>
      <c r="H18" s="17">
        <v>3713</v>
      </c>
      <c r="I18" s="17"/>
      <c r="J18" s="17">
        <f>254323+44803+648-O18</f>
        <v>299223</v>
      </c>
      <c r="K18" s="17">
        <v>165986</v>
      </c>
      <c r="L18" s="17">
        <v>125</v>
      </c>
      <c r="M18" s="17">
        <f t="shared" si="3"/>
        <v>3117</v>
      </c>
      <c r="N18" s="17">
        <v>2566</v>
      </c>
      <c r="O18" s="17">
        <v>551</v>
      </c>
      <c r="P18" s="17">
        <f>5114+1900</f>
        <v>7014</v>
      </c>
      <c r="Q18" s="25">
        <f t="shared" si="4"/>
        <v>120.13545016761107</v>
      </c>
      <c r="R18" s="25">
        <f t="shared" si="5"/>
        <v>178.87704918032787</v>
      </c>
      <c r="S18" s="25">
        <f t="shared" si="6"/>
        <v>111.05572772653886</v>
      </c>
    </row>
    <row r="19" spans="1:19" ht="18.75" customHeight="1" x14ac:dyDescent="0.25">
      <c r="A19" s="4">
        <v>7</v>
      </c>
      <c r="B19" s="7" t="s">
        <v>271</v>
      </c>
      <c r="C19" s="17">
        <f t="shared" si="7"/>
        <v>237243</v>
      </c>
      <c r="D19" s="17">
        <v>9400</v>
      </c>
      <c r="E19" s="17">
        <f>237243-9400</f>
        <v>227843</v>
      </c>
      <c r="F19" s="17">
        <f t="shared" si="2"/>
        <v>389254</v>
      </c>
      <c r="G19" s="17">
        <f>37709+15218-N19</f>
        <v>46645</v>
      </c>
      <c r="H19" s="17">
        <v>17976</v>
      </c>
      <c r="I19" s="17"/>
      <c r="J19" s="17">
        <f>196134+42863-2440-O19</f>
        <v>235125</v>
      </c>
      <c r="K19" s="17">
        <f>135665-1910</f>
        <v>133755</v>
      </c>
      <c r="L19" s="17">
        <v>160</v>
      </c>
      <c r="M19" s="17">
        <f t="shared" si="3"/>
        <v>7714</v>
      </c>
      <c r="N19" s="17">
        <v>6282</v>
      </c>
      <c r="O19" s="17">
        <v>1432</v>
      </c>
      <c r="P19" s="17">
        <f>86902+12868</f>
        <v>99770</v>
      </c>
      <c r="Q19" s="25">
        <f t="shared" si="4"/>
        <v>164.07396635517171</v>
      </c>
      <c r="R19" s="25">
        <f t="shared" si="5"/>
        <v>496.22340425531917</v>
      </c>
      <c r="S19" s="25">
        <f t="shared" si="6"/>
        <v>103.19606044513108</v>
      </c>
    </row>
    <row r="20" spans="1:19" ht="18.75" customHeight="1" x14ac:dyDescent="0.25">
      <c r="A20" s="4">
        <v>8</v>
      </c>
      <c r="B20" s="7" t="s">
        <v>272</v>
      </c>
      <c r="C20" s="17">
        <f t="shared" si="7"/>
        <v>386080</v>
      </c>
      <c r="D20" s="17">
        <v>5400</v>
      </c>
      <c r="E20" s="17">
        <f>386080-5400</f>
        <v>380680</v>
      </c>
      <c r="F20" s="17">
        <f t="shared" si="2"/>
        <v>523557</v>
      </c>
      <c r="G20" s="17">
        <f>44653+424-N20</f>
        <v>39014</v>
      </c>
      <c r="H20" s="17">
        <v>3872</v>
      </c>
      <c r="I20" s="17"/>
      <c r="J20" s="17">
        <f>334631+67142-O20</f>
        <v>400382</v>
      </c>
      <c r="K20" s="17">
        <v>242642</v>
      </c>
      <c r="L20" s="17">
        <v>225</v>
      </c>
      <c r="M20" s="17">
        <f t="shared" si="3"/>
        <v>7454</v>
      </c>
      <c r="N20" s="17">
        <v>6063</v>
      </c>
      <c r="O20" s="17">
        <v>1391</v>
      </c>
      <c r="P20" s="17">
        <f>69470+7237</f>
        <v>76707</v>
      </c>
      <c r="Q20" s="25">
        <f t="shared" si="4"/>
        <v>135.60842312474099</v>
      </c>
      <c r="R20" s="25">
        <f t="shared" si="5"/>
        <v>722.48148148148152</v>
      </c>
      <c r="S20" s="25">
        <f t="shared" si="6"/>
        <v>105.17547546495744</v>
      </c>
    </row>
    <row r="21" spans="1:19" ht="18.75" customHeight="1" x14ac:dyDescent="0.25">
      <c r="A21" s="4">
        <v>9</v>
      </c>
      <c r="B21" s="7" t="s">
        <v>273</v>
      </c>
      <c r="C21" s="17">
        <f t="shared" si="7"/>
        <v>399350</v>
      </c>
      <c r="D21" s="17">
        <v>9400</v>
      </c>
      <c r="E21" s="17">
        <f>399350-9400</f>
        <v>389950</v>
      </c>
      <c r="F21" s="17">
        <f t="shared" si="2"/>
        <v>488964</v>
      </c>
      <c r="G21" s="17">
        <f>33357+48476-N21</f>
        <v>72266</v>
      </c>
      <c r="H21" s="17">
        <f>14640+3623</f>
        <v>18263</v>
      </c>
      <c r="I21" s="17"/>
      <c r="J21" s="17">
        <f>320124+72365+698-O21</f>
        <v>390821</v>
      </c>
      <c r="K21" s="17">
        <v>251893</v>
      </c>
      <c r="L21" s="17">
        <v>227</v>
      </c>
      <c r="M21" s="17">
        <f t="shared" si="3"/>
        <v>11933</v>
      </c>
      <c r="N21" s="17">
        <v>9567</v>
      </c>
      <c r="O21" s="17">
        <v>2366</v>
      </c>
      <c r="P21" s="17">
        <f>7934+6010</f>
        <v>13944</v>
      </c>
      <c r="Q21" s="25">
        <f t="shared" si="4"/>
        <v>122.43996494303242</v>
      </c>
      <c r="R21" s="25">
        <f t="shared" si="5"/>
        <v>768.78723404255322</v>
      </c>
      <c r="S21" s="25">
        <f t="shared" si="6"/>
        <v>100.22336196948328</v>
      </c>
    </row>
    <row r="22" spans="1:19" ht="18.75" customHeight="1" x14ac:dyDescent="0.25">
      <c r="A22" s="54">
        <v>10</v>
      </c>
      <c r="B22" s="7" t="s">
        <v>274</v>
      </c>
      <c r="C22" s="17">
        <f t="shared" si="7"/>
        <v>140482</v>
      </c>
      <c r="D22" s="17">
        <v>9400</v>
      </c>
      <c r="E22" s="17">
        <f>140482-9400</f>
        <v>131082</v>
      </c>
      <c r="F22" s="17">
        <f t="shared" si="2"/>
        <v>206823</v>
      </c>
      <c r="G22" s="17">
        <f>31046+594-N22</f>
        <v>29437</v>
      </c>
      <c r="H22" s="17">
        <v>6802</v>
      </c>
      <c r="I22" s="17"/>
      <c r="J22" s="17">
        <f>117519+17267+30-O22</f>
        <v>134411</v>
      </c>
      <c r="K22" s="17">
        <v>75597</v>
      </c>
      <c r="L22" s="17">
        <v>50</v>
      </c>
      <c r="M22" s="17">
        <f t="shared" si="3"/>
        <v>2608</v>
      </c>
      <c r="N22" s="17">
        <v>2203</v>
      </c>
      <c r="O22" s="17">
        <v>405</v>
      </c>
      <c r="P22" s="17">
        <v>40367</v>
      </c>
      <c r="Q22" s="25">
        <f t="shared" si="4"/>
        <v>147.2238436240942</v>
      </c>
      <c r="R22" s="25">
        <f t="shared" si="5"/>
        <v>313.15957446808511</v>
      </c>
      <c r="S22" s="25">
        <f t="shared" si="6"/>
        <v>102.53963168093254</v>
      </c>
    </row>
    <row r="23" spans="1:19" ht="15.75" x14ac:dyDescent="0.25">
      <c r="A23" s="55"/>
      <c r="B23" s="56"/>
      <c r="C23" s="55"/>
      <c r="D23" s="57"/>
      <c r="E23" s="55"/>
      <c r="F23" s="55"/>
      <c r="G23" s="55"/>
      <c r="H23" s="55"/>
      <c r="I23" s="55"/>
      <c r="J23" s="55"/>
      <c r="K23" s="55"/>
      <c r="L23" s="55"/>
      <c r="M23" s="55"/>
      <c r="N23" s="55"/>
      <c r="O23" s="55"/>
      <c r="P23" s="55"/>
      <c r="Q23" s="55"/>
      <c r="R23" s="55"/>
      <c r="S23" s="55"/>
    </row>
    <row r="24" spans="1:19" ht="15.75" x14ac:dyDescent="0.25">
      <c r="A24" s="3"/>
      <c r="J24" s="141"/>
      <c r="L24" s="23"/>
    </row>
    <row r="25" spans="1:19" s="10" customFormat="1" ht="15.75" x14ac:dyDescent="0.25">
      <c r="A25" s="9"/>
      <c r="L25" s="108"/>
    </row>
    <row r="26" spans="1:19" ht="15.75" x14ac:dyDescent="0.25">
      <c r="A26" s="9"/>
      <c r="H26" s="23"/>
    </row>
    <row r="27" spans="1:19" ht="15.75" x14ac:dyDescent="0.25">
      <c r="A27" s="9"/>
    </row>
    <row r="28" spans="1:19" x14ac:dyDescent="0.25">
      <c r="A28" s="11"/>
    </row>
    <row r="29" spans="1:19" x14ac:dyDescent="0.25">
      <c r="A29" s="11"/>
    </row>
    <row r="30" spans="1:19" x14ac:dyDescent="0.25">
      <c r="A30" s="11"/>
    </row>
    <row r="31" spans="1:19" x14ac:dyDescent="0.25">
      <c r="A31" s="11"/>
    </row>
    <row r="32" spans="1:19" x14ac:dyDescent="0.25">
      <c r="A32" s="11"/>
    </row>
    <row r="33" spans="1:1" x14ac:dyDescent="0.25">
      <c r="A33" s="11"/>
    </row>
    <row r="34" spans="1:1" x14ac:dyDescent="0.25">
      <c r="A34" s="11"/>
    </row>
    <row r="35" spans="1:1" x14ac:dyDescent="0.25">
      <c r="A35" s="11"/>
    </row>
  </sheetData>
  <mergeCells count="24">
    <mergeCell ref="C7:E7"/>
    <mergeCell ref="F7:P7"/>
    <mergeCell ref="Q7:S7"/>
    <mergeCell ref="C8:C10"/>
    <mergeCell ref="D8:D10"/>
    <mergeCell ref="E8:E10"/>
    <mergeCell ref="F8:F10"/>
    <mergeCell ref="G8:I8"/>
    <mergeCell ref="A3:S3"/>
    <mergeCell ref="A4:S4"/>
    <mergeCell ref="G9:G10"/>
    <mergeCell ref="H9:I9"/>
    <mergeCell ref="J9:J10"/>
    <mergeCell ref="K9:L9"/>
    <mergeCell ref="M9:M10"/>
    <mergeCell ref="N9:O9"/>
    <mergeCell ref="J8:L8"/>
    <mergeCell ref="M8:O8"/>
    <mergeCell ref="P8:P10"/>
    <mergeCell ref="Q8:Q10"/>
    <mergeCell ref="R8:R10"/>
    <mergeCell ref="S8:S10"/>
    <mergeCell ref="A7:A10"/>
    <mergeCell ref="B7:B10"/>
  </mergeCells>
  <pageMargins left="0.35" right="0.15748031496062992" top="0.74803149606299213" bottom="0.74803149606299213" header="0.31496062992125984" footer="0.31496062992125984"/>
  <pageSetup paperSize="9" scale="7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3"/>
  <sheetViews>
    <sheetView zoomScale="70" zoomScaleNormal="70" workbookViewId="0">
      <selection activeCell="A4" sqref="A4:Z4"/>
    </sheetView>
  </sheetViews>
  <sheetFormatPr defaultRowHeight="15" x14ac:dyDescent="0.25"/>
  <cols>
    <col min="1" max="1" width="2.28515625" style="80" customWidth="1"/>
    <col min="2" max="2" width="12.85546875" style="80" customWidth="1"/>
    <col min="3" max="3" width="8.28515625" style="80" customWidth="1"/>
    <col min="4" max="4" width="7.5703125" style="80" customWidth="1"/>
    <col min="5" max="5" width="6.7109375" style="80" customWidth="1"/>
    <col min="6" max="6" width="5.140625" style="80" customWidth="1"/>
    <col min="7" max="7" width="6.42578125" style="80" customWidth="1"/>
    <col min="8" max="10" width="6.85546875" style="80" customWidth="1"/>
    <col min="11" max="11" width="7.7109375" style="80" customWidth="1"/>
    <col min="12" max="12" width="7.85546875" style="80" customWidth="1"/>
    <col min="13" max="13" width="6.5703125" style="80" customWidth="1"/>
    <col min="14" max="14" width="6.85546875" style="80" customWidth="1"/>
    <col min="15" max="15" width="6.7109375" style="80" customWidth="1"/>
    <col min="16" max="16" width="6.85546875" style="80" customWidth="1"/>
    <col min="17" max="17" width="6.42578125" style="80" customWidth="1"/>
    <col min="18" max="18" width="6.7109375" style="80" customWidth="1"/>
    <col min="19" max="19" width="5.42578125" style="80" customWidth="1"/>
    <col min="20" max="20" width="5.7109375" style="80" customWidth="1"/>
    <col min="21" max="21" width="6.28515625" style="80" customWidth="1"/>
    <col min="22" max="22" width="5.28515625" style="80" customWidth="1"/>
    <col min="23" max="23" width="5.5703125" style="80" customWidth="1"/>
    <col min="24" max="24" width="7.7109375" style="80" customWidth="1"/>
    <col min="25" max="25" width="6.5703125" style="80" customWidth="1"/>
    <col min="26" max="26" width="6.42578125" style="80" customWidth="1"/>
    <col min="27" max="256" width="8.85546875" style="80"/>
    <col min="257" max="257" width="1.7109375" style="80" customWidth="1"/>
    <col min="258" max="258" width="10.5703125" style="80" customWidth="1"/>
    <col min="259" max="259" width="7.42578125" style="80" customWidth="1"/>
    <col min="260" max="260" width="7.5703125" style="80" customWidth="1"/>
    <col min="261" max="261" width="6.28515625" style="80" customWidth="1"/>
    <col min="262" max="262" width="6" style="80" customWidth="1"/>
    <col min="263" max="263" width="6.42578125" style="80" customWidth="1"/>
    <col min="264" max="266" width="7.42578125" style="80" customWidth="1"/>
    <col min="267" max="267" width="6.85546875" style="80" customWidth="1"/>
    <col min="268" max="268" width="7" style="80" customWidth="1"/>
    <col min="269" max="269" width="6.5703125" style="80" customWidth="1"/>
    <col min="270" max="270" width="6.7109375" style="80" customWidth="1"/>
    <col min="271" max="272" width="6.5703125" style="80" customWidth="1"/>
    <col min="273" max="273" width="6.85546875" style="80" customWidth="1"/>
    <col min="274" max="274" width="6.7109375" style="80" customWidth="1"/>
    <col min="275" max="275" width="4.7109375" style="80" customWidth="1"/>
    <col min="276" max="276" width="4.42578125" style="80" customWidth="1"/>
    <col min="277" max="277" width="5.28515625" style="80" customWidth="1"/>
    <col min="278" max="279" width="4.5703125" style="80" customWidth="1"/>
    <col min="280" max="280" width="5" style="80" customWidth="1"/>
    <col min="281" max="281" width="5.42578125" style="80" customWidth="1"/>
    <col min="282" max="282" width="4.7109375" style="80" customWidth="1"/>
    <col min="283" max="512" width="8.85546875" style="80"/>
    <col min="513" max="513" width="1.7109375" style="80" customWidth="1"/>
    <col min="514" max="514" width="10.5703125" style="80" customWidth="1"/>
    <col min="515" max="515" width="7.42578125" style="80" customWidth="1"/>
    <col min="516" max="516" width="7.5703125" style="80" customWidth="1"/>
    <col min="517" max="517" width="6.28515625" style="80" customWidth="1"/>
    <col min="518" max="518" width="6" style="80" customWidth="1"/>
    <col min="519" max="519" width="6.42578125" style="80" customWidth="1"/>
    <col min="520" max="522" width="7.42578125" style="80" customWidth="1"/>
    <col min="523" max="523" width="6.85546875" style="80" customWidth="1"/>
    <col min="524" max="524" width="7" style="80" customWidth="1"/>
    <col min="525" max="525" width="6.5703125" style="80" customWidth="1"/>
    <col min="526" max="526" width="6.7109375" style="80" customWidth="1"/>
    <col min="527" max="528" width="6.5703125" style="80" customWidth="1"/>
    <col min="529" max="529" width="6.85546875" style="80" customWidth="1"/>
    <col min="530" max="530" width="6.7109375" style="80" customWidth="1"/>
    <col min="531" max="531" width="4.7109375" style="80" customWidth="1"/>
    <col min="532" max="532" width="4.42578125" style="80" customWidth="1"/>
    <col min="533" max="533" width="5.28515625" style="80" customWidth="1"/>
    <col min="534" max="535" width="4.5703125" style="80" customWidth="1"/>
    <col min="536" max="536" width="5" style="80" customWidth="1"/>
    <col min="537" max="537" width="5.42578125" style="80" customWidth="1"/>
    <col min="538" max="538" width="4.7109375" style="80" customWidth="1"/>
    <col min="539" max="768" width="8.85546875" style="80"/>
    <col min="769" max="769" width="1.7109375" style="80" customWidth="1"/>
    <col min="770" max="770" width="10.5703125" style="80" customWidth="1"/>
    <col min="771" max="771" width="7.42578125" style="80" customWidth="1"/>
    <col min="772" max="772" width="7.5703125" style="80" customWidth="1"/>
    <col min="773" max="773" width="6.28515625" style="80" customWidth="1"/>
    <col min="774" max="774" width="6" style="80" customWidth="1"/>
    <col min="775" max="775" width="6.42578125" style="80" customWidth="1"/>
    <col min="776" max="778" width="7.42578125" style="80" customWidth="1"/>
    <col min="779" max="779" width="6.85546875" style="80" customWidth="1"/>
    <col min="780" max="780" width="7" style="80" customWidth="1"/>
    <col min="781" max="781" width="6.5703125" style="80" customWidth="1"/>
    <col min="782" max="782" width="6.7109375" style="80" customWidth="1"/>
    <col min="783" max="784" width="6.5703125" style="80" customWidth="1"/>
    <col min="785" max="785" width="6.85546875" style="80" customWidth="1"/>
    <col min="786" max="786" width="6.7109375" style="80" customWidth="1"/>
    <col min="787" max="787" width="4.7109375" style="80" customWidth="1"/>
    <col min="788" max="788" width="4.42578125" style="80" customWidth="1"/>
    <col min="789" max="789" width="5.28515625" style="80" customWidth="1"/>
    <col min="790" max="791" width="4.5703125" style="80" customWidth="1"/>
    <col min="792" max="792" width="5" style="80" customWidth="1"/>
    <col min="793" max="793" width="5.42578125" style="80" customWidth="1"/>
    <col min="794" max="794" width="4.7109375" style="80" customWidth="1"/>
    <col min="795" max="1024" width="9.140625" style="80"/>
    <col min="1025" max="1025" width="1.7109375" style="80" customWidth="1"/>
    <col min="1026" max="1026" width="10.5703125" style="80" customWidth="1"/>
    <col min="1027" max="1027" width="7.42578125" style="80" customWidth="1"/>
    <col min="1028" max="1028" width="7.5703125" style="80" customWidth="1"/>
    <col min="1029" max="1029" width="6.28515625" style="80" customWidth="1"/>
    <col min="1030" max="1030" width="6" style="80" customWidth="1"/>
    <col min="1031" max="1031" width="6.42578125" style="80" customWidth="1"/>
    <col min="1032" max="1034" width="7.42578125" style="80" customWidth="1"/>
    <col min="1035" max="1035" width="6.85546875" style="80" customWidth="1"/>
    <col min="1036" max="1036" width="7" style="80" customWidth="1"/>
    <col min="1037" max="1037" width="6.5703125" style="80" customWidth="1"/>
    <col min="1038" max="1038" width="6.7109375" style="80" customWidth="1"/>
    <col min="1039" max="1040" width="6.5703125" style="80" customWidth="1"/>
    <col min="1041" max="1041" width="6.85546875" style="80" customWidth="1"/>
    <col min="1042" max="1042" width="6.7109375" style="80" customWidth="1"/>
    <col min="1043" max="1043" width="4.7109375" style="80" customWidth="1"/>
    <col min="1044" max="1044" width="4.42578125" style="80" customWidth="1"/>
    <col min="1045" max="1045" width="5.28515625" style="80" customWidth="1"/>
    <col min="1046" max="1047" width="4.5703125" style="80" customWidth="1"/>
    <col min="1048" max="1048" width="5" style="80" customWidth="1"/>
    <col min="1049" max="1049" width="5.42578125" style="80" customWidth="1"/>
    <col min="1050" max="1050" width="4.7109375" style="80" customWidth="1"/>
    <col min="1051" max="1280" width="8.85546875" style="80"/>
    <col min="1281" max="1281" width="1.7109375" style="80" customWidth="1"/>
    <col min="1282" max="1282" width="10.5703125" style="80" customWidth="1"/>
    <col min="1283" max="1283" width="7.42578125" style="80" customWidth="1"/>
    <col min="1284" max="1284" width="7.5703125" style="80" customWidth="1"/>
    <col min="1285" max="1285" width="6.28515625" style="80" customWidth="1"/>
    <col min="1286" max="1286" width="6" style="80" customWidth="1"/>
    <col min="1287" max="1287" width="6.42578125" style="80" customWidth="1"/>
    <col min="1288" max="1290" width="7.42578125" style="80" customWidth="1"/>
    <col min="1291" max="1291" width="6.85546875" style="80" customWidth="1"/>
    <col min="1292" max="1292" width="7" style="80" customWidth="1"/>
    <col min="1293" max="1293" width="6.5703125" style="80" customWidth="1"/>
    <col min="1294" max="1294" width="6.7109375" style="80" customWidth="1"/>
    <col min="1295" max="1296" width="6.5703125" style="80" customWidth="1"/>
    <col min="1297" max="1297" width="6.85546875" style="80" customWidth="1"/>
    <col min="1298" max="1298" width="6.7109375" style="80" customWidth="1"/>
    <col min="1299" max="1299" width="4.7109375" style="80" customWidth="1"/>
    <col min="1300" max="1300" width="4.42578125" style="80" customWidth="1"/>
    <col min="1301" max="1301" width="5.28515625" style="80" customWidth="1"/>
    <col min="1302" max="1303" width="4.5703125" style="80" customWidth="1"/>
    <col min="1304" max="1304" width="5" style="80" customWidth="1"/>
    <col min="1305" max="1305" width="5.42578125" style="80" customWidth="1"/>
    <col min="1306" max="1306" width="4.7109375" style="80" customWidth="1"/>
    <col min="1307" max="1536" width="8.85546875" style="80"/>
    <col min="1537" max="1537" width="1.7109375" style="80" customWidth="1"/>
    <col min="1538" max="1538" width="10.5703125" style="80" customWidth="1"/>
    <col min="1539" max="1539" width="7.42578125" style="80" customWidth="1"/>
    <col min="1540" max="1540" width="7.5703125" style="80" customWidth="1"/>
    <col min="1541" max="1541" width="6.28515625" style="80" customWidth="1"/>
    <col min="1542" max="1542" width="6" style="80" customWidth="1"/>
    <col min="1543" max="1543" width="6.42578125" style="80" customWidth="1"/>
    <col min="1544" max="1546" width="7.42578125" style="80" customWidth="1"/>
    <col min="1547" max="1547" width="6.85546875" style="80" customWidth="1"/>
    <col min="1548" max="1548" width="7" style="80" customWidth="1"/>
    <col min="1549" max="1549" width="6.5703125" style="80" customWidth="1"/>
    <col min="1550" max="1550" width="6.7109375" style="80" customWidth="1"/>
    <col min="1551" max="1552" width="6.5703125" style="80" customWidth="1"/>
    <col min="1553" max="1553" width="6.85546875" style="80" customWidth="1"/>
    <col min="1554" max="1554" width="6.7109375" style="80" customWidth="1"/>
    <col min="1555" max="1555" width="4.7109375" style="80" customWidth="1"/>
    <col min="1556" max="1556" width="4.42578125" style="80" customWidth="1"/>
    <col min="1557" max="1557" width="5.28515625" style="80" customWidth="1"/>
    <col min="1558" max="1559" width="4.5703125" style="80" customWidth="1"/>
    <col min="1560" max="1560" width="5" style="80" customWidth="1"/>
    <col min="1561" max="1561" width="5.42578125" style="80" customWidth="1"/>
    <col min="1562" max="1562" width="4.7109375" style="80" customWidth="1"/>
    <col min="1563" max="1792" width="8.85546875" style="80"/>
    <col min="1793" max="1793" width="1.7109375" style="80" customWidth="1"/>
    <col min="1794" max="1794" width="10.5703125" style="80" customWidth="1"/>
    <col min="1795" max="1795" width="7.42578125" style="80" customWidth="1"/>
    <col min="1796" max="1796" width="7.5703125" style="80" customWidth="1"/>
    <col min="1797" max="1797" width="6.28515625" style="80" customWidth="1"/>
    <col min="1798" max="1798" width="6" style="80" customWidth="1"/>
    <col min="1799" max="1799" width="6.42578125" style="80" customWidth="1"/>
    <col min="1800" max="1802" width="7.42578125" style="80" customWidth="1"/>
    <col min="1803" max="1803" width="6.85546875" style="80" customWidth="1"/>
    <col min="1804" max="1804" width="7" style="80" customWidth="1"/>
    <col min="1805" max="1805" width="6.5703125" style="80" customWidth="1"/>
    <col min="1806" max="1806" width="6.7109375" style="80" customWidth="1"/>
    <col min="1807" max="1808" width="6.5703125" style="80" customWidth="1"/>
    <col min="1809" max="1809" width="6.85546875" style="80" customWidth="1"/>
    <col min="1810" max="1810" width="6.7109375" style="80" customWidth="1"/>
    <col min="1811" max="1811" width="4.7109375" style="80" customWidth="1"/>
    <col min="1812" max="1812" width="4.42578125" style="80" customWidth="1"/>
    <col min="1813" max="1813" width="5.28515625" style="80" customWidth="1"/>
    <col min="1814" max="1815" width="4.5703125" style="80" customWidth="1"/>
    <col min="1816" max="1816" width="5" style="80" customWidth="1"/>
    <col min="1817" max="1817" width="5.42578125" style="80" customWidth="1"/>
    <col min="1818" max="1818" width="4.7109375" style="80" customWidth="1"/>
    <col min="1819" max="2048" width="9.140625" style="80"/>
    <col min="2049" max="2049" width="1.7109375" style="80" customWidth="1"/>
    <col min="2050" max="2050" width="10.5703125" style="80" customWidth="1"/>
    <col min="2051" max="2051" width="7.42578125" style="80" customWidth="1"/>
    <col min="2052" max="2052" width="7.5703125" style="80" customWidth="1"/>
    <col min="2053" max="2053" width="6.28515625" style="80" customWidth="1"/>
    <col min="2054" max="2054" width="6" style="80" customWidth="1"/>
    <col min="2055" max="2055" width="6.42578125" style="80" customWidth="1"/>
    <col min="2056" max="2058" width="7.42578125" style="80" customWidth="1"/>
    <col min="2059" max="2059" width="6.85546875" style="80" customWidth="1"/>
    <col min="2060" max="2060" width="7" style="80" customWidth="1"/>
    <col min="2061" max="2061" width="6.5703125" style="80" customWidth="1"/>
    <col min="2062" max="2062" width="6.7109375" style="80" customWidth="1"/>
    <col min="2063" max="2064" width="6.5703125" style="80" customWidth="1"/>
    <col min="2065" max="2065" width="6.85546875" style="80" customWidth="1"/>
    <col min="2066" max="2066" width="6.7109375" style="80" customWidth="1"/>
    <col min="2067" max="2067" width="4.7109375" style="80" customWidth="1"/>
    <col min="2068" max="2068" width="4.42578125" style="80" customWidth="1"/>
    <col min="2069" max="2069" width="5.28515625" style="80" customWidth="1"/>
    <col min="2070" max="2071" width="4.5703125" style="80" customWidth="1"/>
    <col min="2072" max="2072" width="5" style="80" customWidth="1"/>
    <col min="2073" max="2073" width="5.42578125" style="80" customWidth="1"/>
    <col min="2074" max="2074" width="4.7109375" style="80" customWidth="1"/>
    <col min="2075" max="2304" width="8.85546875" style="80"/>
    <col min="2305" max="2305" width="1.7109375" style="80" customWidth="1"/>
    <col min="2306" max="2306" width="10.5703125" style="80" customWidth="1"/>
    <col min="2307" max="2307" width="7.42578125" style="80" customWidth="1"/>
    <col min="2308" max="2308" width="7.5703125" style="80" customWidth="1"/>
    <col min="2309" max="2309" width="6.28515625" style="80" customWidth="1"/>
    <col min="2310" max="2310" width="6" style="80" customWidth="1"/>
    <col min="2311" max="2311" width="6.42578125" style="80" customWidth="1"/>
    <col min="2312" max="2314" width="7.42578125" style="80" customWidth="1"/>
    <col min="2315" max="2315" width="6.85546875" style="80" customWidth="1"/>
    <col min="2316" max="2316" width="7" style="80" customWidth="1"/>
    <col min="2317" max="2317" width="6.5703125" style="80" customWidth="1"/>
    <col min="2318" max="2318" width="6.7109375" style="80" customWidth="1"/>
    <col min="2319" max="2320" width="6.5703125" style="80" customWidth="1"/>
    <col min="2321" max="2321" width="6.85546875" style="80" customWidth="1"/>
    <col min="2322" max="2322" width="6.7109375" style="80" customWidth="1"/>
    <col min="2323" max="2323" width="4.7109375" style="80" customWidth="1"/>
    <col min="2324" max="2324" width="4.42578125" style="80" customWidth="1"/>
    <col min="2325" max="2325" width="5.28515625" style="80" customWidth="1"/>
    <col min="2326" max="2327" width="4.5703125" style="80" customWidth="1"/>
    <col min="2328" max="2328" width="5" style="80" customWidth="1"/>
    <col min="2329" max="2329" width="5.42578125" style="80" customWidth="1"/>
    <col min="2330" max="2330" width="4.7109375" style="80" customWidth="1"/>
    <col min="2331" max="2560" width="8.85546875" style="80"/>
    <col min="2561" max="2561" width="1.7109375" style="80" customWidth="1"/>
    <col min="2562" max="2562" width="10.5703125" style="80" customWidth="1"/>
    <col min="2563" max="2563" width="7.42578125" style="80" customWidth="1"/>
    <col min="2564" max="2564" width="7.5703125" style="80" customWidth="1"/>
    <col min="2565" max="2565" width="6.28515625" style="80" customWidth="1"/>
    <col min="2566" max="2566" width="6" style="80" customWidth="1"/>
    <col min="2567" max="2567" width="6.42578125" style="80" customWidth="1"/>
    <col min="2568" max="2570" width="7.42578125" style="80" customWidth="1"/>
    <col min="2571" max="2571" width="6.85546875" style="80" customWidth="1"/>
    <col min="2572" max="2572" width="7" style="80" customWidth="1"/>
    <col min="2573" max="2573" width="6.5703125" style="80" customWidth="1"/>
    <col min="2574" max="2574" width="6.7109375" style="80" customWidth="1"/>
    <col min="2575" max="2576" width="6.5703125" style="80" customWidth="1"/>
    <col min="2577" max="2577" width="6.85546875" style="80" customWidth="1"/>
    <col min="2578" max="2578" width="6.7109375" style="80" customWidth="1"/>
    <col min="2579" max="2579" width="4.7109375" style="80" customWidth="1"/>
    <col min="2580" max="2580" width="4.42578125" style="80" customWidth="1"/>
    <col min="2581" max="2581" width="5.28515625" style="80" customWidth="1"/>
    <col min="2582" max="2583" width="4.5703125" style="80" customWidth="1"/>
    <col min="2584" max="2584" width="5" style="80" customWidth="1"/>
    <col min="2585" max="2585" width="5.42578125" style="80" customWidth="1"/>
    <col min="2586" max="2586" width="4.7109375" style="80" customWidth="1"/>
    <col min="2587" max="2816" width="8.85546875" style="80"/>
    <col min="2817" max="2817" width="1.7109375" style="80" customWidth="1"/>
    <col min="2818" max="2818" width="10.5703125" style="80" customWidth="1"/>
    <col min="2819" max="2819" width="7.42578125" style="80" customWidth="1"/>
    <col min="2820" max="2820" width="7.5703125" style="80" customWidth="1"/>
    <col min="2821" max="2821" width="6.28515625" style="80" customWidth="1"/>
    <col min="2822" max="2822" width="6" style="80" customWidth="1"/>
    <col min="2823" max="2823" width="6.42578125" style="80" customWidth="1"/>
    <col min="2824" max="2826" width="7.42578125" style="80" customWidth="1"/>
    <col min="2827" max="2827" width="6.85546875" style="80" customWidth="1"/>
    <col min="2828" max="2828" width="7" style="80" customWidth="1"/>
    <col min="2829" max="2829" width="6.5703125" style="80" customWidth="1"/>
    <col min="2830" max="2830" width="6.7109375" style="80" customWidth="1"/>
    <col min="2831" max="2832" width="6.5703125" style="80" customWidth="1"/>
    <col min="2833" max="2833" width="6.85546875" style="80" customWidth="1"/>
    <col min="2834" max="2834" width="6.7109375" style="80" customWidth="1"/>
    <col min="2835" max="2835" width="4.7109375" style="80" customWidth="1"/>
    <col min="2836" max="2836" width="4.42578125" style="80" customWidth="1"/>
    <col min="2837" max="2837" width="5.28515625" style="80" customWidth="1"/>
    <col min="2838" max="2839" width="4.5703125" style="80" customWidth="1"/>
    <col min="2840" max="2840" width="5" style="80" customWidth="1"/>
    <col min="2841" max="2841" width="5.42578125" style="80" customWidth="1"/>
    <col min="2842" max="2842" width="4.7109375" style="80" customWidth="1"/>
    <col min="2843" max="3072" width="9.140625" style="80"/>
    <col min="3073" max="3073" width="1.7109375" style="80" customWidth="1"/>
    <col min="3074" max="3074" width="10.5703125" style="80" customWidth="1"/>
    <col min="3075" max="3075" width="7.42578125" style="80" customWidth="1"/>
    <col min="3076" max="3076" width="7.5703125" style="80" customWidth="1"/>
    <col min="3077" max="3077" width="6.28515625" style="80" customWidth="1"/>
    <col min="3078" max="3078" width="6" style="80" customWidth="1"/>
    <col min="3079" max="3079" width="6.42578125" style="80" customWidth="1"/>
    <col min="3080" max="3082" width="7.42578125" style="80" customWidth="1"/>
    <col min="3083" max="3083" width="6.85546875" style="80" customWidth="1"/>
    <col min="3084" max="3084" width="7" style="80" customWidth="1"/>
    <col min="3085" max="3085" width="6.5703125" style="80" customWidth="1"/>
    <col min="3086" max="3086" width="6.7109375" style="80" customWidth="1"/>
    <col min="3087" max="3088" width="6.5703125" style="80" customWidth="1"/>
    <col min="3089" max="3089" width="6.85546875" style="80" customWidth="1"/>
    <col min="3090" max="3090" width="6.7109375" style="80" customWidth="1"/>
    <col min="3091" max="3091" width="4.7109375" style="80" customWidth="1"/>
    <col min="3092" max="3092" width="4.42578125" style="80" customWidth="1"/>
    <col min="3093" max="3093" width="5.28515625" style="80" customWidth="1"/>
    <col min="3094" max="3095" width="4.5703125" style="80" customWidth="1"/>
    <col min="3096" max="3096" width="5" style="80" customWidth="1"/>
    <col min="3097" max="3097" width="5.42578125" style="80" customWidth="1"/>
    <col min="3098" max="3098" width="4.7109375" style="80" customWidth="1"/>
    <col min="3099" max="3328" width="8.85546875" style="80"/>
    <col min="3329" max="3329" width="1.7109375" style="80" customWidth="1"/>
    <col min="3330" max="3330" width="10.5703125" style="80" customWidth="1"/>
    <col min="3331" max="3331" width="7.42578125" style="80" customWidth="1"/>
    <col min="3332" max="3332" width="7.5703125" style="80" customWidth="1"/>
    <col min="3333" max="3333" width="6.28515625" style="80" customWidth="1"/>
    <col min="3334" max="3334" width="6" style="80" customWidth="1"/>
    <col min="3335" max="3335" width="6.42578125" style="80" customWidth="1"/>
    <col min="3336" max="3338" width="7.42578125" style="80" customWidth="1"/>
    <col min="3339" max="3339" width="6.85546875" style="80" customWidth="1"/>
    <col min="3340" max="3340" width="7" style="80" customWidth="1"/>
    <col min="3341" max="3341" width="6.5703125" style="80" customWidth="1"/>
    <col min="3342" max="3342" width="6.7109375" style="80" customWidth="1"/>
    <col min="3343" max="3344" width="6.5703125" style="80" customWidth="1"/>
    <col min="3345" max="3345" width="6.85546875" style="80" customWidth="1"/>
    <col min="3346" max="3346" width="6.7109375" style="80" customWidth="1"/>
    <col min="3347" max="3347" width="4.7109375" style="80" customWidth="1"/>
    <col min="3348" max="3348" width="4.42578125" style="80" customWidth="1"/>
    <col min="3349" max="3349" width="5.28515625" style="80" customWidth="1"/>
    <col min="3350" max="3351" width="4.5703125" style="80" customWidth="1"/>
    <col min="3352" max="3352" width="5" style="80" customWidth="1"/>
    <col min="3353" max="3353" width="5.42578125" style="80" customWidth="1"/>
    <col min="3354" max="3354" width="4.7109375" style="80" customWidth="1"/>
    <col min="3355" max="3584" width="8.85546875" style="80"/>
    <col min="3585" max="3585" width="1.7109375" style="80" customWidth="1"/>
    <col min="3586" max="3586" width="10.5703125" style="80" customWidth="1"/>
    <col min="3587" max="3587" width="7.42578125" style="80" customWidth="1"/>
    <col min="3588" max="3588" width="7.5703125" style="80" customWidth="1"/>
    <col min="3589" max="3589" width="6.28515625" style="80" customWidth="1"/>
    <col min="3590" max="3590" width="6" style="80" customWidth="1"/>
    <col min="3591" max="3591" width="6.42578125" style="80" customWidth="1"/>
    <col min="3592" max="3594" width="7.42578125" style="80" customWidth="1"/>
    <col min="3595" max="3595" width="6.85546875" style="80" customWidth="1"/>
    <col min="3596" max="3596" width="7" style="80" customWidth="1"/>
    <col min="3597" max="3597" width="6.5703125" style="80" customWidth="1"/>
    <col min="3598" max="3598" width="6.7109375" style="80" customWidth="1"/>
    <col min="3599" max="3600" width="6.5703125" style="80" customWidth="1"/>
    <col min="3601" max="3601" width="6.85546875" style="80" customWidth="1"/>
    <col min="3602" max="3602" width="6.7109375" style="80" customWidth="1"/>
    <col min="3603" max="3603" width="4.7109375" style="80" customWidth="1"/>
    <col min="3604" max="3604" width="4.42578125" style="80" customWidth="1"/>
    <col min="3605" max="3605" width="5.28515625" style="80" customWidth="1"/>
    <col min="3606" max="3607" width="4.5703125" style="80" customWidth="1"/>
    <col min="3608" max="3608" width="5" style="80" customWidth="1"/>
    <col min="3609" max="3609" width="5.42578125" style="80" customWidth="1"/>
    <col min="3610" max="3610" width="4.7109375" style="80" customWidth="1"/>
    <col min="3611" max="3840" width="8.85546875" style="80"/>
    <col min="3841" max="3841" width="1.7109375" style="80" customWidth="1"/>
    <col min="3842" max="3842" width="10.5703125" style="80" customWidth="1"/>
    <col min="3843" max="3843" width="7.42578125" style="80" customWidth="1"/>
    <col min="3844" max="3844" width="7.5703125" style="80" customWidth="1"/>
    <col min="3845" max="3845" width="6.28515625" style="80" customWidth="1"/>
    <col min="3846" max="3846" width="6" style="80" customWidth="1"/>
    <col min="3847" max="3847" width="6.42578125" style="80" customWidth="1"/>
    <col min="3848" max="3850" width="7.42578125" style="80" customWidth="1"/>
    <col min="3851" max="3851" width="6.85546875" style="80" customWidth="1"/>
    <col min="3852" max="3852" width="7" style="80" customWidth="1"/>
    <col min="3853" max="3853" width="6.5703125" style="80" customWidth="1"/>
    <col min="3854" max="3854" width="6.7109375" style="80" customWidth="1"/>
    <col min="3855" max="3856" width="6.5703125" style="80" customWidth="1"/>
    <col min="3857" max="3857" width="6.85546875" style="80" customWidth="1"/>
    <col min="3858" max="3858" width="6.7109375" style="80" customWidth="1"/>
    <col min="3859" max="3859" width="4.7109375" style="80" customWidth="1"/>
    <col min="3860" max="3860" width="4.42578125" style="80" customWidth="1"/>
    <col min="3861" max="3861" width="5.28515625" style="80" customWidth="1"/>
    <col min="3862" max="3863" width="4.5703125" style="80" customWidth="1"/>
    <col min="3864" max="3864" width="5" style="80" customWidth="1"/>
    <col min="3865" max="3865" width="5.42578125" style="80" customWidth="1"/>
    <col min="3866" max="3866" width="4.7109375" style="80" customWidth="1"/>
    <col min="3867" max="4096" width="9.140625" style="80"/>
    <col min="4097" max="4097" width="1.7109375" style="80" customWidth="1"/>
    <col min="4098" max="4098" width="10.5703125" style="80" customWidth="1"/>
    <col min="4099" max="4099" width="7.42578125" style="80" customWidth="1"/>
    <col min="4100" max="4100" width="7.5703125" style="80" customWidth="1"/>
    <col min="4101" max="4101" width="6.28515625" style="80" customWidth="1"/>
    <col min="4102" max="4102" width="6" style="80" customWidth="1"/>
    <col min="4103" max="4103" width="6.42578125" style="80" customWidth="1"/>
    <col min="4104" max="4106" width="7.42578125" style="80" customWidth="1"/>
    <col min="4107" max="4107" width="6.85546875" style="80" customWidth="1"/>
    <col min="4108" max="4108" width="7" style="80" customWidth="1"/>
    <col min="4109" max="4109" width="6.5703125" style="80" customWidth="1"/>
    <col min="4110" max="4110" width="6.7109375" style="80" customWidth="1"/>
    <col min="4111" max="4112" width="6.5703125" style="80" customWidth="1"/>
    <col min="4113" max="4113" width="6.85546875" style="80" customWidth="1"/>
    <col min="4114" max="4114" width="6.7109375" style="80" customWidth="1"/>
    <col min="4115" max="4115" width="4.7109375" style="80" customWidth="1"/>
    <col min="4116" max="4116" width="4.42578125" style="80" customWidth="1"/>
    <col min="4117" max="4117" width="5.28515625" style="80" customWidth="1"/>
    <col min="4118" max="4119" width="4.5703125" style="80" customWidth="1"/>
    <col min="4120" max="4120" width="5" style="80" customWidth="1"/>
    <col min="4121" max="4121" width="5.42578125" style="80" customWidth="1"/>
    <col min="4122" max="4122" width="4.7109375" style="80" customWidth="1"/>
    <col min="4123" max="4352" width="8.85546875" style="80"/>
    <col min="4353" max="4353" width="1.7109375" style="80" customWidth="1"/>
    <col min="4354" max="4354" width="10.5703125" style="80" customWidth="1"/>
    <col min="4355" max="4355" width="7.42578125" style="80" customWidth="1"/>
    <col min="4356" max="4356" width="7.5703125" style="80" customWidth="1"/>
    <col min="4357" max="4357" width="6.28515625" style="80" customWidth="1"/>
    <col min="4358" max="4358" width="6" style="80" customWidth="1"/>
    <col min="4359" max="4359" width="6.42578125" style="80" customWidth="1"/>
    <col min="4360" max="4362" width="7.42578125" style="80" customWidth="1"/>
    <col min="4363" max="4363" width="6.85546875" style="80" customWidth="1"/>
    <col min="4364" max="4364" width="7" style="80" customWidth="1"/>
    <col min="4365" max="4365" width="6.5703125" style="80" customWidth="1"/>
    <col min="4366" max="4366" width="6.7109375" style="80" customWidth="1"/>
    <col min="4367" max="4368" width="6.5703125" style="80" customWidth="1"/>
    <col min="4369" max="4369" width="6.85546875" style="80" customWidth="1"/>
    <col min="4370" max="4370" width="6.7109375" style="80" customWidth="1"/>
    <col min="4371" max="4371" width="4.7109375" style="80" customWidth="1"/>
    <col min="4372" max="4372" width="4.42578125" style="80" customWidth="1"/>
    <col min="4373" max="4373" width="5.28515625" style="80" customWidth="1"/>
    <col min="4374" max="4375" width="4.5703125" style="80" customWidth="1"/>
    <col min="4376" max="4376" width="5" style="80" customWidth="1"/>
    <col min="4377" max="4377" width="5.42578125" style="80" customWidth="1"/>
    <col min="4378" max="4378" width="4.7109375" style="80" customWidth="1"/>
    <col min="4379" max="4608" width="8.85546875" style="80"/>
    <col min="4609" max="4609" width="1.7109375" style="80" customWidth="1"/>
    <col min="4610" max="4610" width="10.5703125" style="80" customWidth="1"/>
    <col min="4611" max="4611" width="7.42578125" style="80" customWidth="1"/>
    <col min="4612" max="4612" width="7.5703125" style="80" customWidth="1"/>
    <col min="4613" max="4613" width="6.28515625" style="80" customWidth="1"/>
    <col min="4614" max="4614" width="6" style="80" customWidth="1"/>
    <col min="4615" max="4615" width="6.42578125" style="80" customWidth="1"/>
    <col min="4616" max="4618" width="7.42578125" style="80" customWidth="1"/>
    <col min="4619" max="4619" width="6.85546875" style="80" customWidth="1"/>
    <col min="4620" max="4620" width="7" style="80" customWidth="1"/>
    <col min="4621" max="4621" width="6.5703125" style="80" customWidth="1"/>
    <col min="4622" max="4622" width="6.7109375" style="80" customWidth="1"/>
    <col min="4623" max="4624" width="6.5703125" style="80" customWidth="1"/>
    <col min="4625" max="4625" width="6.85546875" style="80" customWidth="1"/>
    <col min="4626" max="4626" width="6.7109375" style="80" customWidth="1"/>
    <col min="4627" max="4627" width="4.7109375" style="80" customWidth="1"/>
    <col min="4628" max="4628" width="4.42578125" style="80" customWidth="1"/>
    <col min="4629" max="4629" width="5.28515625" style="80" customWidth="1"/>
    <col min="4630" max="4631" width="4.5703125" style="80" customWidth="1"/>
    <col min="4632" max="4632" width="5" style="80" customWidth="1"/>
    <col min="4633" max="4633" width="5.42578125" style="80" customWidth="1"/>
    <col min="4634" max="4634" width="4.7109375" style="80" customWidth="1"/>
    <col min="4635" max="4864" width="8.85546875" style="80"/>
    <col min="4865" max="4865" width="1.7109375" style="80" customWidth="1"/>
    <col min="4866" max="4866" width="10.5703125" style="80" customWidth="1"/>
    <col min="4867" max="4867" width="7.42578125" style="80" customWidth="1"/>
    <col min="4868" max="4868" width="7.5703125" style="80" customWidth="1"/>
    <col min="4869" max="4869" width="6.28515625" style="80" customWidth="1"/>
    <col min="4870" max="4870" width="6" style="80" customWidth="1"/>
    <col min="4871" max="4871" width="6.42578125" style="80" customWidth="1"/>
    <col min="4872" max="4874" width="7.42578125" style="80" customWidth="1"/>
    <col min="4875" max="4875" width="6.85546875" style="80" customWidth="1"/>
    <col min="4876" max="4876" width="7" style="80" customWidth="1"/>
    <col min="4877" max="4877" width="6.5703125" style="80" customWidth="1"/>
    <col min="4878" max="4878" width="6.7109375" style="80" customWidth="1"/>
    <col min="4879" max="4880" width="6.5703125" style="80" customWidth="1"/>
    <col min="4881" max="4881" width="6.85546875" style="80" customWidth="1"/>
    <col min="4882" max="4882" width="6.7109375" style="80" customWidth="1"/>
    <col min="4883" max="4883" width="4.7109375" style="80" customWidth="1"/>
    <col min="4884" max="4884" width="4.42578125" style="80" customWidth="1"/>
    <col min="4885" max="4885" width="5.28515625" style="80" customWidth="1"/>
    <col min="4886" max="4887" width="4.5703125" style="80" customWidth="1"/>
    <col min="4888" max="4888" width="5" style="80" customWidth="1"/>
    <col min="4889" max="4889" width="5.42578125" style="80" customWidth="1"/>
    <col min="4890" max="4890" width="4.7109375" style="80" customWidth="1"/>
    <col min="4891" max="5120" width="9.140625" style="80"/>
    <col min="5121" max="5121" width="1.7109375" style="80" customWidth="1"/>
    <col min="5122" max="5122" width="10.5703125" style="80" customWidth="1"/>
    <col min="5123" max="5123" width="7.42578125" style="80" customWidth="1"/>
    <col min="5124" max="5124" width="7.5703125" style="80" customWidth="1"/>
    <col min="5125" max="5125" width="6.28515625" style="80" customWidth="1"/>
    <col min="5126" max="5126" width="6" style="80" customWidth="1"/>
    <col min="5127" max="5127" width="6.42578125" style="80" customWidth="1"/>
    <col min="5128" max="5130" width="7.42578125" style="80" customWidth="1"/>
    <col min="5131" max="5131" width="6.85546875" style="80" customWidth="1"/>
    <col min="5132" max="5132" width="7" style="80" customWidth="1"/>
    <col min="5133" max="5133" width="6.5703125" style="80" customWidth="1"/>
    <col min="5134" max="5134" width="6.7109375" style="80" customWidth="1"/>
    <col min="5135" max="5136" width="6.5703125" style="80" customWidth="1"/>
    <col min="5137" max="5137" width="6.85546875" style="80" customWidth="1"/>
    <col min="5138" max="5138" width="6.7109375" style="80" customWidth="1"/>
    <col min="5139" max="5139" width="4.7109375" style="80" customWidth="1"/>
    <col min="5140" max="5140" width="4.42578125" style="80" customWidth="1"/>
    <col min="5141" max="5141" width="5.28515625" style="80" customWidth="1"/>
    <col min="5142" max="5143" width="4.5703125" style="80" customWidth="1"/>
    <col min="5144" max="5144" width="5" style="80" customWidth="1"/>
    <col min="5145" max="5145" width="5.42578125" style="80" customWidth="1"/>
    <col min="5146" max="5146" width="4.7109375" style="80" customWidth="1"/>
    <col min="5147" max="5376" width="8.85546875" style="80"/>
    <col min="5377" max="5377" width="1.7109375" style="80" customWidth="1"/>
    <col min="5378" max="5378" width="10.5703125" style="80" customWidth="1"/>
    <col min="5379" max="5379" width="7.42578125" style="80" customWidth="1"/>
    <col min="5380" max="5380" width="7.5703125" style="80" customWidth="1"/>
    <col min="5381" max="5381" width="6.28515625" style="80" customWidth="1"/>
    <col min="5382" max="5382" width="6" style="80" customWidth="1"/>
    <col min="5383" max="5383" width="6.42578125" style="80" customWidth="1"/>
    <col min="5384" max="5386" width="7.42578125" style="80" customWidth="1"/>
    <col min="5387" max="5387" width="6.85546875" style="80" customWidth="1"/>
    <col min="5388" max="5388" width="7" style="80" customWidth="1"/>
    <col min="5389" max="5389" width="6.5703125" style="80" customWidth="1"/>
    <col min="5390" max="5390" width="6.7109375" style="80" customWidth="1"/>
    <col min="5391" max="5392" width="6.5703125" style="80" customWidth="1"/>
    <col min="5393" max="5393" width="6.85546875" style="80" customWidth="1"/>
    <col min="5394" max="5394" width="6.7109375" style="80" customWidth="1"/>
    <col min="5395" max="5395" width="4.7109375" style="80" customWidth="1"/>
    <col min="5396" max="5396" width="4.42578125" style="80" customWidth="1"/>
    <col min="5397" max="5397" width="5.28515625" style="80" customWidth="1"/>
    <col min="5398" max="5399" width="4.5703125" style="80" customWidth="1"/>
    <col min="5400" max="5400" width="5" style="80" customWidth="1"/>
    <col min="5401" max="5401" width="5.42578125" style="80" customWidth="1"/>
    <col min="5402" max="5402" width="4.7109375" style="80" customWidth="1"/>
    <col min="5403" max="5632" width="8.85546875" style="80"/>
    <col min="5633" max="5633" width="1.7109375" style="80" customWidth="1"/>
    <col min="5634" max="5634" width="10.5703125" style="80" customWidth="1"/>
    <col min="5635" max="5635" width="7.42578125" style="80" customWidth="1"/>
    <col min="5636" max="5636" width="7.5703125" style="80" customWidth="1"/>
    <col min="5637" max="5637" width="6.28515625" style="80" customWidth="1"/>
    <col min="5638" max="5638" width="6" style="80" customWidth="1"/>
    <col min="5639" max="5639" width="6.42578125" style="80" customWidth="1"/>
    <col min="5640" max="5642" width="7.42578125" style="80" customWidth="1"/>
    <col min="5643" max="5643" width="6.85546875" style="80" customWidth="1"/>
    <col min="5644" max="5644" width="7" style="80" customWidth="1"/>
    <col min="5645" max="5645" width="6.5703125" style="80" customWidth="1"/>
    <col min="5646" max="5646" width="6.7109375" style="80" customWidth="1"/>
    <col min="5647" max="5648" width="6.5703125" style="80" customWidth="1"/>
    <col min="5649" max="5649" width="6.85546875" style="80" customWidth="1"/>
    <col min="5650" max="5650" width="6.7109375" style="80" customWidth="1"/>
    <col min="5651" max="5651" width="4.7109375" style="80" customWidth="1"/>
    <col min="5652" max="5652" width="4.42578125" style="80" customWidth="1"/>
    <col min="5653" max="5653" width="5.28515625" style="80" customWidth="1"/>
    <col min="5654" max="5655" width="4.5703125" style="80" customWidth="1"/>
    <col min="5656" max="5656" width="5" style="80" customWidth="1"/>
    <col min="5657" max="5657" width="5.42578125" style="80" customWidth="1"/>
    <col min="5658" max="5658" width="4.7109375" style="80" customWidth="1"/>
    <col min="5659" max="5888" width="8.85546875" style="80"/>
    <col min="5889" max="5889" width="1.7109375" style="80" customWidth="1"/>
    <col min="5890" max="5890" width="10.5703125" style="80" customWidth="1"/>
    <col min="5891" max="5891" width="7.42578125" style="80" customWidth="1"/>
    <col min="5892" max="5892" width="7.5703125" style="80" customWidth="1"/>
    <col min="5893" max="5893" width="6.28515625" style="80" customWidth="1"/>
    <col min="5894" max="5894" width="6" style="80" customWidth="1"/>
    <col min="5895" max="5895" width="6.42578125" style="80" customWidth="1"/>
    <col min="5896" max="5898" width="7.42578125" style="80" customWidth="1"/>
    <col min="5899" max="5899" width="6.85546875" style="80" customWidth="1"/>
    <col min="5900" max="5900" width="7" style="80" customWidth="1"/>
    <col min="5901" max="5901" width="6.5703125" style="80" customWidth="1"/>
    <col min="5902" max="5902" width="6.7109375" style="80" customWidth="1"/>
    <col min="5903" max="5904" width="6.5703125" style="80" customWidth="1"/>
    <col min="5905" max="5905" width="6.85546875" style="80" customWidth="1"/>
    <col min="5906" max="5906" width="6.7109375" style="80" customWidth="1"/>
    <col min="5907" max="5907" width="4.7109375" style="80" customWidth="1"/>
    <col min="5908" max="5908" width="4.42578125" style="80" customWidth="1"/>
    <col min="5909" max="5909" width="5.28515625" style="80" customWidth="1"/>
    <col min="5910" max="5911" width="4.5703125" style="80" customWidth="1"/>
    <col min="5912" max="5912" width="5" style="80" customWidth="1"/>
    <col min="5913" max="5913" width="5.42578125" style="80" customWidth="1"/>
    <col min="5914" max="5914" width="4.7109375" style="80" customWidth="1"/>
    <col min="5915" max="6144" width="9.140625" style="80"/>
    <col min="6145" max="6145" width="1.7109375" style="80" customWidth="1"/>
    <col min="6146" max="6146" width="10.5703125" style="80" customWidth="1"/>
    <col min="6147" max="6147" width="7.42578125" style="80" customWidth="1"/>
    <col min="6148" max="6148" width="7.5703125" style="80" customWidth="1"/>
    <col min="6149" max="6149" width="6.28515625" style="80" customWidth="1"/>
    <col min="6150" max="6150" width="6" style="80" customWidth="1"/>
    <col min="6151" max="6151" width="6.42578125" style="80" customWidth="1"/>
    <col min="6152" max="6154" width="7.42578125" style="80" customWidth="1"/>
    <col min="6155" max="6155" width="6.85546875" style="80" customWidth="1"/>
    <col min="6156" max="6156" width="7" style="80" customWidth="1"/>
    <col min="6157" max="6157" width="6.5703125" style="80" customWidth="1"/>
    <col min="6158" max="6158" width="6.7109375" style="80" customWidth="1"/>
    <col min="6159" max="6160" width="6.5703125" style="80" customWidth="1"/>
    <col min="6161" max="6161" width="6.85546875" style="80" customWidth="1"/>
    <col min="6162" max="6162" width="6.7109375" style="80" customWidth="1"/>
    <col min="6163" max="6163" width="4.7109375" style="80" customWidth="1"/>
    <col min="6164" max="6164" width="4.42578125" style="80" customWidth="1"/>
    <col min="6165" max="6165" width="5.28515625" style="80" customWidth="1"/>
    <col min="6166" max="6167" width="4.5703125" style="80" customWidth="1"/>
    <col min="6168" max="6168" width="5" style="80" customWidth="1"/>
    <col min="6169" max="6169" width="5.42578125" style="80" customWidth="1"/>
    <col min="6170" max="6170" width="4.7109375" style="80" customWidth="1"/>
    <col min="6171" max="6400" width="8.85546875" style="80"/>
    <col min="6401" max="6401" width="1.7109375" style="80" customWidth="1"/>
    <col min="6402" max="6402" width="10.5703125" style="80" customWidth="1"/>
    <col min="6403" max="6403" width="7.42578125" style="80" customWidth="1"/>
    <col min="6404" max="6404" width="7.5703125" style="80" customWidth="1"/>
    <col min="6405" max="6405" width="6.28515625" style="80" customWidth="1"/>
    <col min="6406" max="6406" width="6" style="80" customWidth="1"/>
    <col min="6407" max="6407" width="6.42578125" style="80" customWidth="1"/>
    <col min="6408" max="6410" width="7.42578125" style="80" customWidth="1"/>
    <col min="6411" max="6411" width="6.85546875" style="80" customWidth="1"/>
    <col min="6412" max="6412" width="7" style="80" customWidth="1"/>
    <col min="6413" max="6413" width="6.5703125" style="80" customWidth="1"/>
    <col min="6414" max="6414" width="6.7109375" style="80" customWidth="1"/>
    <col min="6415" max="6416" width="6.5703125" style="80" customWidth="1"/>
    <col min="6417" max="6417" width="6.85546875" style="80" customWidth="1"/>
    <col min="6418" max="6418" width="6.7109375" style="80" customWidth="1"/>
    <col min="6419" max="6419" width="4.7109375" style="80" customWidth="1"/>
    <col min="6420" max="6420" width="4.42578125" style="80" customWidth="1"/>
    <col min="6421" max="6421" width="5.28515625" style="80" customWidth="1"/>
    <col min="6422" max="6423" width="4.5703125" style="80" customWidth="1"/>
    <col min="6424" max="6424" width="5" style="80" customWidth="1"/>
    <col min="6425" max="6425" width="5.42578125" style="80" customWidth="1"/>
    <col min="6426" max="6426" width="4.7109375" style="80" customWidth="1"/>
    <col min="6427" max="6656" width="8.85546875" style="80"/>
    <col min="6657" max="6657" width="1.7109375" style="80" customWidth="1"/>
    <col min="6658" max="6658" width="10.5703125" style="80" customWidth="1"/>
    <col min="6659" max="6659" width="7.42578125" style="80" customWidth="1"/>
    <col min="6660" max="6660" width="7.5703125" style="80" customWidth="1"/>
    <col min="6661" max="6661" width="6.28515625" style="80" customWidth="1"/>
    <col min="6662" max="6662" width="6" style="80" customWidth="1"/>
    <col min="6663" max="6663" width="6.42578125" style="80" customWidth="1"/>
    <col min="6664" max="6666" width="7.42578125" style="80" customWidth="1"/>
    <col min="6667" max="6667" width="6.85546875" style="80" customWidth="1"/>
    <col min="6668" max="6668" width="7" style="80" customWidth="1"/>
    <col min="6669" max="6669" width="6.5703125" style="80" customWidth="1"/>
    <col min="6670" max="6670" width="6.7109375" style="80" customWidth="1"/>
    <col min="6671" max="6672" width="6.5703125" style="80" customWidth="1"/>
    <col min="6673" max="6673" width="6.85546875" style="80" customWidth="1"/>
    <col min="6674" max="6674" width="6.7109375" style="80" customWidth="1"/>
    <col min="6675" max="6675" width="4.7109375" style="80" customWidth="1"/>
    <col min="6676" max="6676" width="4.42578125" style="80" customWidth="1"/>
    <col min="6677" max="6677" width="5.28515625" style="80" customWidth="1"/>
    <col min="6678" max="6679" width="4.5703125" style="80" customWidth="1"/>
    <col min="6680" max="6680" width="5" style="80" customWidth="1"/>
    <col min="6681" max="6681" width="5.42578125" style="80" customWidth="1"/>
    <col min="6682" max="6682" width="4.7109375" style="80" customWidth="1"/>
    <col min="6683" max="6912" width="8.85546875" style="80"/>
    <col min="6913" max="6913" width="1.7109375" style="80" customWidth="1"/>
    <col min="6914" max="6914" width="10.5703125" style="80" customWidth="1"/>
    <col min="6915" max="6915" width="7.42578125" style="80" customWidth="1"/>
    <col min="6916" max="6916" width="7.5703125" style="80" customWidth="1"/>
    <col min="6917" max="6917" width="6.28515625" style="80" customWidth="1"/>
    <col min="6918" max="6918" width="6" style="80" customWidth="1"/>
    <col min="6919" max="6919" width="6.42578125" style="80" customWidth="1"/>
    <col min="6920" max="6922" width="7.42578125" style="80" customWidth="1"/>
    <col min="6923" max="6923" width="6.85546875" style="80" customWidth="1"/>
    <col min="6924" max="6924" width="7" style="80" customWidth="1"/>
    <col min="6925" max="6925" width="6.5703125" style="80" customWidth="1"/>
    <col min="6926" max="6926" width="6.7109375" style="80" customWidth="1"/>
    <col min="6927" max="6928" width="6.5703125" style="80" customWidth="1"/>
    <col min="6929" max="6929" width="6.85546875" style="80" customWidth="1"/>
    <col min="6930" max="6930" width="6.7109375" style="80" customWidth="1"/>
    <col min="6931" max="6931" width="4.7109375" style="80" customWidth="1"/>
    <col min="6932" max="6932" width="4.42578125" style="80" customWidth="1"/>
    <col min="6933" max="6933" width="5.28515625" style="80" customWidth="1"/>
    <col min="6934" max="6935" width="4.5703125" style="80" customWidth="1"/>
    <col min="6936" max="6936" width="5" style="80" customWidth="1"/>
    <col min="6937" max="6937" width="5.42578125" style="80" customWidth="1"/>
    <col min="6938" max="6938" width="4.7109375" style="80" customWidth="1"/>
    <col min="6939" max="7168" width="9.140625" style="80"/>
    <col min="7169" max="7169" width="1.7109375" style="80" customWidth="1"/>
    <col min="7170" max="7170" width="10.5703125" style="80" customWidth="1"/>
    <col min="7171" max="7171" width="7.42578125" style="80" customWidth="1"/>
    <col min="7172" max="7172" width="7.5703125" style="80" customWidth="1"/>
    <col min="7173" max="7173" width="6.28515625" style="80" customWidth="1"/>
    <col min="7174" max="7174" width="6" style="80" customWidth="1"/>
    <col min="7175" max="7175" width="6.42578125" style="80" customWidth="1"/>
    <col min="7176" max="7178" width="7.42578125" style="80" customWidth="1"/>
    <col min="7179" max="7179" width="6.85546875" style="80" customWidth="1"/>
    <col min="7180" max="7180" width="7" style="80" customWidth="1"/>
    <col min="7181" max="7181" width="6.5703125" style="80" customWidth="1"/>
    <col min="7182" max="7182" width="6.7109375" style="80" customWidth="1"/>
    <col min="7183" max="7184" width="6.5703125" style="80" customWidth="1"/>
    <col min="7185" max="7185" width="6.85546875" style="80" customWidth="1"/>
    <col min="7186" max="7186" width="6.7109375" style="80" customWidth="1"/>
    <col min="7187" max="7187" width="4.7109375" style="80" customWidth="1"/>
    <col min="7188" max="7188" width="4.42578125" style="80" customWidth="1"/>
    <col min="7189" max="7189" width="5.28515625" style="80" customWidth="1"/>
    <col min="7190" max="7191" width="4.5703125" style="80" customWidth="1"/>
    <col min="7192" max="7192" width="5" style="80" customWidth="1"/>
    <col min="7193" max="7193" width="5.42578125" style="80" customWidth="1"/>
    <col min="7194" max="7194" width="4.7109375" style="80" customWidth="1"/>
    <col min="7195" max="7424" width="8.85546875" style="80"/>
    <col min="7425" max="7425" width="1.7109375" style="80" customWidth="1"/>
    <col min="7426" max="7426" width="10.5703125" style="80" customWidth="1"/>
    <col min="7427" max="7427" width="7.42578125" style="80" customWidth="1"/>
    <col min="7428" max="7428" width="7.5703125" style="80" customWidth="1"/>
    <col min="7429" max="7429" width="6.28515625" style="80" customWidth="1"/>
    <col min="7430" max="7430" width="6" style="80" customWidth="1"/>
    <col min="7431" max="7431" width="6.42578125" style="80" customWidth="1"/>
    <col min="7432" max="7434" width="7.42578125" style="80" customWidth="1"/>
    <col min="7435" max="7435" width="6.85546875" style="80" customWidth="1"/>
    <col min="7436" max="7436" width="7" style="80" customWidth="1"/>
    <col min="7437" max="7437" width="6.5703125" style="80" customWidth="1"/>
    <col min="7438" max="7438" width="6.7109375" style="80" customWidth="1"/>
    <col min="7439" max="7440" width="6.5703125" style="80" customWidth="1"/>
    <col min="7441" max="7441" width="6.85546875" style="80" customWidth="1"/>
    <col min="7442" max="7442" width="6.7109375" style="80" customWidth="1"/>
    <col min="7443" max="7443" width="4.7109375" style="80" customWidth="1"/>
    <col min="7444" max="7444" width="4.42578125" style="80" customWidth="1"/>
    <col min="7445" max="7445" width="5.28515625" style="80" customWidth="1"/>
    <col min="7446" max="7447" width="4.5703125" style="80" customWidth="1"/>
    <col min="7448" max="7448" width="5" style="80" customWidth="1"/>
    <col min="7449" max="7449" width="5.42578125" style="80" customWidth="1"/>
    <col min="7450" max="7450" width="4.7109375" style="80" customWidth="1"/>
    <col min="7451" max="7680" width="8.85546875" style="80"/>
    <col min="7681" max="7681" width="1.7109375" style="80" customWidth="1"/>
    <col min="7682" max="7682" width="10.5703125" style="80" customWidth="1"/>
    <col min="7683" max="7683" width="7.42578125" style="80" customWidth="1"/>
    <col min="7684" max="7684" width="7.5703125" style="80" customWidth="1"/>
    <col min="7685" max="7685" width="6.28515625" style="80" customWidth="1"/>
    <col min="7686" max="7686" width="6" style="80" customWidth="1"/>
    <col min="7687" max="7687" width="6.42578125" style="80" customWidth="1"/>
    <col min="7688" max="7690" width="7.42578125" style="80" customWidth="1"/>
    <col min="7691" max="7691" width="6.85546875" style="80" customWidth="1"/>
    <col min="7692" max="7692" width="7" style="80" customWidth="1"/>
    <col min="7693" max="7693" width="6.5703125" style="80" customWidth="1"/>
    <col min="7694" max="7694" width="6.7109375" style="80" customWidth="1"/>
    <col min="7695" max="7696" width="6.5703125" style="80" customWidth="1"/>
    <col min="7697" max="7697" width="6.85546875" style="80" customWidth="1"/>
    <col min="7698" max="7698" width="6.7109375" style="80" customWidth="1"/>
    <col min="7699" max="7699" width="4.7109375" style="80" customWidth="1"/>
    <col min="7700" max="7700" width="4.42578125" style="80" customWidth="1"/>
    <col min="7701" max="7701" width="5.28515625" style="80" customWidth="1"/>
    <col min="7702" max="7703" width="4.5703125" style="80" customWidth="1"/>
    <col min="7704" max="7704" width="5" style="80" customWidth="1"/>
    <col min="7705" max="7705" width="5.42578125" style="80" customWidth="1"/>
    <col min="7706" max="7706" width="4.7109375" style="80" customWidth="1"/>
    <col min="7707" max="7936" width="8.85546875" style="80"/>
    <col min="7937" max="7937" width="1.7109375" style="80" customWidth="1"/>
    <col min="7938" max="7938" width="10.5703125" style="80" customWidth="1"/>
    <col min="7939" max="7939" width="7.42578125" style="80" customWidth="1"/>
    <col min="7940" max="7940" width="7.5703125" style="80" customWidth="1"/>
    <col min="7941" max="7941" width="6.28515625" style="80" customWidth="1"/>
    <col min="7942" max="7942" width="6" style="80" customWidth="1"/>
    <col min="7943" max="7943" width="6.42578125" style="80" customWidth="1"/>
    <col min="7944" max="7946" width="7.42578125" style="80" customWidth="1"/>
    <col min="7947" max="7947" width="6.85546875" style="80" customWidth="1"/>
    <col min="7948" max="7948" width="7" style="80" customWidth="1"/>
    <col min="7949" max="7949" width="6.5703125" style="80" customWidth="1"/>
    <col min="7950" max="7950" width="6.7109375" style="80" customWidth="1"/>
    <col min="7951" max="7952" width="6.5703125" style="80" customWidth="1"/>
    <col min="7953" max="7953" width="6.85546875" style="80" customWidth="1"/>
    <col min="7954" max="7954" width="6.7109375" style="80" customWidth="1"/>
    <col min="7955" max="7955" width="4.7109375" style="80" customWidth="1"/>
    <col min="7956" max="7956" width="4.42578125" style="80" customWidth="1"/>
    <col min="7957" max="7957" width="5.28515625" style="80" customWidth="1"/>
    <col min="7958" max="7959" width="4.5703125" style="80" customWidth="1"/>
    <col min="7960" max="7960" width="5" style="80" customWidth="1"/>
    <col min="7961" max="7961" width="5.42578125" style="80" customWidth="1"/>
    <col min="7962" max="7962" width="4.7109375" style="80" customWidth="1"/>
    <col min="7963" max="8192" width="9.140625" style="80"/>
    <col min="8193" max="8193" width="1.7109375" style="80" customWidth="1"/>
    <col min="8194" max="8194" width="10.5703125" style="80" customWidth="1"/>
    <col min="8195" max="8195" width="7.42578125" style="80" customWidth="1"/>
    <col min="8196" max="8196" width="7.5703125" style="80" customWidth="1"/>
    <col min="8197" max="8197" width="6.28515625" style="80" customWidth="1"/>
    <col min="8198" max="8198" width="6" style="80" customWidth="1"/>
    <col min="8199" max="8199" width="6.42578125" style="80" customWidth="1"/>
    <col min="8200" max="8202" width="7.42578125" style="80" customWidth="1"/>
    <col min="8203" max="8203" width="6.85546875" style="80" customWidth="1"/>
    <col min="8204" max="8204" width="7" style="80" customWidth="1"/>
    <col min="8205" max="8205" width="6.5703125" style="80" customWidth="1"/>
    <col min="8206" max="8206" width="6.7109375" style="80" customWidth="1"/>
    <col min="8207" max="8208" width="6.5703125" style="80" customWidth="1"/>
    <col min="8209" max="8209" width="6.85546875" style="80" customWidth="1"/>
    <col min="8210" max="8210" width="6.7109375" style="80" customWidth="1"/>
    <col min="8211" max="8211" width="4.7109375" style="80" customWidth="1"/>
    <col min="8212" max="8212" width="4.42578125" style="80" customWidth="1"/>
    <col min="8213" max="8213" width="5.28515625" style="80" customWidth="1"/>
    <col min="8214" max="8215" width="4.5703125" style="80" customWidth="1"/>
    <col min="8216" max="8216" width="5" style="80" customWidth="1"/>
    <col min="8217" max="8217" width="5.42578125" style="80" customWidth="1"/>
    <col min="8218" max="8218" width="4.7109375" style="80" customWidth="1"/>
    <col min="8219" max="8448" width="8.85546875" style="80"/>
    <col min="8449" max="8449" width="1.7109375" style="80" customWidth="1"/>
    <col min="8450" max="8450" width="10.5703125" style="80" customWidth="1"/>
    <col min="8451" max="8451" width="7.42578125" style="80" customWidth="1"/>
    <col min="8452" max="8452" width="7.5703125" style="80" customWidth="1"/>
    <col min="8453" max="8453" width="6.28515625" style="80" customWidth="1"/>
    <col min="8454" max="8454" width="6" style="80" customWidth="1"/>
    <col min="8455" max="8455" width="6.42578125" style="80" customWidth="1"/>
    <col min="8456" max="8458" width="7.42578125" style="80" customWidth="1"/>
    <col min="8459" max="8459" width="6.85546875" style="80" customWidth="1"/>
    <col min="8460" max="8460" width="7" style="80" customWidth="1"/>
    <col min="8461" max="8461" width="6.5703125" style="80" customWidth="1"/>
    <col min="8462" max="8462" width="6.7109375" style="80" customWidth="1"/>
    <col min="8463" max="8464" width="6.5703125" style="80" customWidth="1"/>
    <col min="8465" max="8465" width="6.85546875" style="80" customWidth="1"/>
    <col min="8466" max="8466" width="6.7109375" style="80" customWidth="1"/>
    <col min="8467" max="8467" width="4.7109375" style="80" customWidth="1"/>
    <col min="8468" max="8468" width="4.42578125" style="80" customWidth="1"/>
    <col min="8469" max="8469" width="5.28515625" style="80" customWidth="1"/>
    <col min="8470" max="8471" width="4.5703125" style="80" customWidth="1"/>
    <col min="8472" max="8472" width="5" style="80" customWidth="1"/>
    <col min="8473" max="8473" width="5.42578125" style="80" customWidth="1"/>
    <col min="8474" max="8474" width="4.7109375" style="80" customWidth="1"/>
    <col min="8475" max="8704" width="8.85546875" style="80"/>
    <col min="8705" max="8705" width="1.7109375" style="80" customWidth="1"/>
    <col min="8706" max="8706" width="10.5703125" style="80" customWidth="1"/>
    <col min="8707" max="8707" width="7.42578125" style="80" customWidth="1"/>
    <col min="8708" max="8708" width="7.5703125" style="80" customWidth="1"/>
    <col min="8709" max="8709" width="6.28515625" style="80" customWidth="1"/>
    <col min="8710" max="8710" width="6" style="80" customWidth="1"/>
    <col min="8711" max="8711" width="6.42578125" style="80" customWidth="1"/>
    <col min="8712" max="8714" width="7.42578125" style="80" customWidth="1"/>
    <col min="8715" max="8715" width="6.85546875" style="80" customWidth="1"/>
    <col min="8716" max="8716" width="7" style="80" customWidth="1"/>
    <col min="8717" max="8717" width="6.5703125" style="80" customWidth="1"/>
    <col min="8718" max="8718" width="6.7109375" style="80" customWidth="1"/>
    <col min="8719" max="8720" width="6.5703125" style="80" customWidth="1"/>
    <col min="8721" max="8721" width="6.85546875" style="80" customWidth="1"/>
    <col min="8722" max="8722" width="6.7109375" style="80" customWidth="1"/>
    <col min="8723" max="8723" width="4.7109375" style="80" customWidth="1"/>
    <col min="8724" max="8724" width="4.42578125" style="80" customWidth="1"/>
    <col min="8725" max="8725" width="5.28515625" style="80" customWidth="1"/>
    <col min="8726" max="8727" width="4.5703125" style="80" customWidth="1"/>
    <col min="8728" max="8728" width="5" style="80" customWidth="1"/>
    <col min="8729" max="8729" width="5.42578125" style="80" customWidth="1"/>
    <col min="8730" max="8730" width="4.7109375" style="80" customWidth="1"/>
    <col min="8731" max="8960" width="8.85546875" style="80"/>
    <col min="8961" max="8961" width="1.7109375" style="80" customWidth="1"/>
    <col min="8962" max="8962" width="10.5703125" style="80" customWidth="1"/>
    <col min="8963" max="8963" width="7.42578125" style="80" customWidth="1"/>
    <col min="8964" max="8964" width="7.5703125" style="80" customWidth="1"/>
    <col min="8965" max="8965" width="6.28515625" style="80" customWidth="1"/>
    <col min="8966" max="8966" width="6" style="80" customWidth="1"/>
    <col min="8967" max="8967" width="6.42578125" style="80" customWidth="1"/>
    <col min="8968" max="8970" width="7.42578125" style="80" customWidth="1"/>
    <col min="8971" max="8971" width="6.85546875" style="80" customWidth="1"/>
    <col min="8972" max="8972" width="7" style="80" customWidth="1"/>
    <col min="8973" max="8973" width="6.5703125" style="80" customWidth="1"/>
    <col min="8974" max="8974" width="6.7109375" style="80" customWidth="1"/>
    <col min="8975" max="8976" width="6.5703125" style="80" customWidth="1"/>
    <col min="8977" max="8977" width="6.85546875" style="80" customWidth="1"/>
    <col min="8978" max="8978" width="6.7109375" style="80" customWidth="1"/>
    <col min="8979" max="8979" width="4.7109375" style="80" customWidth="1"/>
    <col min="8980" max="8980" width="4.42578125" style="80" customWidth="1"/>
    <col min="8981" max="8981" width="5.28515625" style="80" customWidth="1"/>
    <col min="8982" max="8983" width="4.5703125" style="80" customWidth="1"/>
    <col min="8984" max="8984" width="5" style="80" customWidth="1"/>
    <col min="8985" max="8985" width="5.42578125" style="80" customWidth="1"/>
    <col min="8986" max="8986" width="4.7109375" style="80" customWidth="1"/>
    <col min="8987" max="9216" width="9.140625" style="80"/>
    <col min="9217" max="9217" width="1.7109375" style="80" customWidth="1"/>
    <col min="9218" max="9218" width="10.5703125" style="80" customWidth="1"/>
    <col min="9219" max="9219" width="7.42578125" style="80" customWidth="1"/>
    <col min="9220" max="9220" width="7.5703125" style="80" customWidth="1"/>
    <col min="9221" max="9221" width="6.28515625" style="80" customWidth="1"/>
    <col min="9222" max="9222" width="6" style="80" customWidth="1"/>
    <col min="9223" max="9223" width="6.42578125" style="80" customWidth="1"/>
    <col min="9224" max="9226" width="7.42578125" style="80" customWidth="1"/>
    <col min="9227" max="9227" width="6.85546875" style="80" customWidth="1"/>
    <col min="9228" max="9228" width="7" style="80" customWidth="1"/>
    <col min="9229" max="9229" width="6.5703125" style="80" customWidth="1"/>
    <col min="9230" max="9230" width="6.7109375" style="80" customWidth="1"/>
    <col min="9231" max="9232" width="6.5703125" style="80" customWidth="1"/>
    <col min="9233" max="9233" width="6.85546875" style="80" customWidth="1"/>
    <col min="9234" max="9234" width="6.7109375" style="80" customWidth="1"/>
    <col min="9235" max="9235" width="4.7109375" style="80" customWidth="1"/>
    <col min="9236" max="9236" width="4.42578125" style="80" customWidth="1"/>
    <col min="9237" max="9237" width="5.28515625" style="80" customWidth="1"/>
    <col min="9238" max="9239" width="4.5703125" style="80" customWidth="1"/>
    <col min="9240" max="9240" width="5" style="80" customWidth="1"/>
    <col min="9241" max="9241" width="5.42578125" style="80" customWidth="1"/>
    <col min="9242" max="9242" width="4.7109375" style="80" customWidth="1"/>
    <col min="9243" max="9472" width="8.85546875" style="80"/>
    <col min="9473" max="9473" width="1.7109375" style="80" customWidth="1"/>
    <col min="9474" max="9474" width="10.5703125" style="80" customWidth="1"/>
    <col min="9475" max="9475" width="7.42578125" style="80" customWidth="1"/>
    <col min="9476" max="9476" width="7.5703125" style="80" customWidth="1"/>
    <col min="9477" max="9477" width="6.28515625" style="80" customWidth="1"/>
    <col min="9478" max="9478" width="6" style="80" customWidth="1"/>
    <col min="9479" max="9479" width="6.42578125" style="80" customWidth="1"/>
    <col min="9480" max="9482" width="7.42578125" style="80" customWidth="1"/>
    <col min="9483" max="9483" width="6.85546875" style="80" customWidth="1"/>
    <col min="9484" max="9484" width="7" style="80" customWidth="1"/>
    <col min="9485" max="9485" width="6.5703125" style="80" customWidth="1"/>
    <col min="9486" max="9486" width="6.7109375" style="80" customWidth="1"/>
    <col min="9487" max="9488" width="6.5703125" style="80" customWidth="1"/>
    <col min="9489" max="9489" width="6.85546875" style="80" customWidth="1"/>
    <col min="9490" max="9490" width="6.7109375" style="80" customWidth="1"/>
    <col min="9491" max="9491" width="4.7109375" style="80" customWidth="1"/>
    <col min="9492" max="9492" width="4.42578125" style="80" customWidth="1"/>
    <col min="9493" max="9493" width="5.28515625" style="80" customWidth="1"/>
    <col min="9494" max="9495" width="4.5703125" style="80" customWidth="1"/>
    <col min="9496" max="9496" width="5" style="80" customWidth="1"/>
    <col min="9497" max="9497" width="5.42578125" style="80" customWidth="1"/>
    <col min="9498" max="9498" width="4.7109375" style="80" customWidth="1"/>
    <col min="9499" max="9728" width="8.85546875" style="80"/>
    <col min="9729" max="9729" width="1.7109375" style="80" customWidth="1"/>
    <col min="9730" max="9730" width="10.5703125" style="80" customWidth="1"/>
    <col min="9731" max="9731" width="7.42578125" style="80" customWidth="1"/>
    <col min="9732" max="9732" width="7.5703125" style="80" customWidth="1"/>
    <col min="9733" max="9733" width="6.28515625" style="80" customWidth="1"/>
    <col min="9734" max="9734" width="6" style="80" customWidth="1"/>
    <col min="9735" max="9735" width="6.42578125" style="80" customWidth="1"/>
    <col min="9736" max="9738" width="7.42578125" style="80" customWidth="1"/>
    <col min="9739" max="9739" width="6.85546875" style="80" customWidth="1"/>
    <col min="9740" max="9740" width="7" style="80" customWidth="1"/>
    <col min="9741" max="9741" width="6.5703125" style="80" customWidth="1"/>
    <col min="9742" max="9742" width="6.7109375" style="80" customWidth="1"/>
    <col min="9743" max="9744" width="6.5703125" style="80" customWidth="1"/>
    <col min="9745" max="9745" width="6.85546875" style="80" customWidth="1"/>
    <col min="9746" max="9746" width="6.7109375" style="80" customWidth="1"/>
    <col min="9747" max="9747" width="4.7109375" style="80" customWidth="1"/>
    <col min="9748" max="9748" width="4.42578125" style="80" customWidth="1"/>
    <col min="9749" max="9749" width="5.28515625" style="80" customWidth="1"/>
    <col min="9750" max="9751" width="4.5703125" style="80" customWidth="1"/>
    <col min="9752" max="9752" width="5" style="80" customWidth="1"/>
    <col min="9753" max="9753" width="5.42578125" style="80" customWidth="1"/>
    <col min="9754" max="9754" width="4.7109375" style="80" customWidth="1"/>
    <col min="9755" max="9984" width="8.85546875" style="80"/>
    <col min="9985" max="9985" width="1.7109375" style="80" customWidth="1"/>
    <col min="9986" max="9986" width="10.5703125" style="80" customWidth="1"/>
    <col min="9987" max="9987" width="7.42578125" style="80" customWidth="1"/>
    <col min="9988" max="9988" width="7.5703125" style="80" customWidth="1"/>
    <col min="9989" max="9989" width="6.28515625" style="80" customWidth="1"/>
    <col min="9990" max="9990" width="6" style="80" customWidth="1"/>
    <col min="9991" max="9991" width="6.42578125" style="80" customWidth="1"/>
    <col min="9992" max="9994" width="7.42578125" style="80" customWidth="1"/>
    <col min="9995" max="9995" width="6.85546875" style="80" customWidth="1"/>
    <col min="9996" max="9996" width="7" style="80" customWidth="1"/>
    <col min="9997" max="9997" width="6.5703125" style="80" customWidth="1"/>
    <col min="9998" max="9998" width="6.7109375" style="80" customWidth="1"/>
    <col min="9999" max="10000" width="6.5703125" style="80" customWidth="1"/>
    <col min="10001" max="10001" width="6.85546875" style="80" customWidth="1"/>
    <col min="10002" max="10002" width="6.7109375" style="80" customWidth="1"/>
    <col min="10003" max="10003" width="4.7109375" style="80" customWidth="1"/>
    <col min="10004" max="10004" width="4.42578125" style="80" customWidth="1"/>
    <col min="10005" max="10005" width="5.28515625" style="80" customWidth="1"/>
    <col min="10006" max="10007" width="4.5703125" style="80" customWidth="1"/>
    <col min="10008" max="10008" width="5" style="80" customWidth="1"/>
    <col min="10009" max="10009" width="5.42578125" style="80" customWidth="1"/>
    <col min="10010" max="10010" width="4.7109375" style="80" customWidth="1"/>
    <col min="10011" max="10240" width="9.140625" style="80"/>
    <col min="10241" max="10241" width="1.7109375" style="80" customWidth="1"/>
    <col min="10242" max="10242" width="10.5703125" style="80" customWidth="1"/>
    <col min="10243" max="10243" width="7.42578125" style="80" customWidth="1"/>
    <col min="10244" max="10244" width="7.5703125" style="80" customWidth="1"/>
    <col min="10245" max="10245" width="6.28515625" style="80" customWidth="1"/>
    <col min="10246" max="10246" width="6" style="80" customWidth="1"/>
    <col min="10247" max="10247" width="6.42578125" style="80" customWidth="1"/>
    <col min="10248" max="10250" width="7.42578125" style="80" customWidth="1"/>
    <col min="10251" max="10251" width="6.85546875" style="80" customWidth="1"/>
    <col min="10252" max="10252" width="7" style="80" customWidth="1"/>
    <col min="10253" max="10253" width="6.5703125" style="80" customWidth="1"/>
    <col min="10254" max="10254" width="6.7109375" style="80" customWidth="1"/>
    <col min="10255" max="10256" width="6.5703125" style="80" customWidth="1"/>
    <col min="10257" max="10257" width="6.85546875" style="80" customWidth="1"/>
    <col min="10258" max="10258" width="6.7109375" style="80" customWidth="1"/>
    <col min="10259" max="10259" width="4.7109375" style="80" customWidth="1"/>
    <col min="10260" max="10260" width="4.42578125" style="80" customWidth="1"/>
    <col min="10261" max="10261" width="5.28515625" style="80" customWidth="1"/>
    <col min="10262" max="10263" width="4.5703125" style="80" customWidth="1"/>
    <col min="10264" max="10264" width="5" style="80" customWidth="1"/>
    <col min="10265" max="10265" width="5.42578125" style="80" customWidth="1"/>
    <col min="10266" max="10266" width="4.7109375" style="80" customWidth="1"/>
    <col min="10267" max="10496" width="8.85546875" style="80"/>
    <col min="10497" max="10497" width="1.7109375" style="80" customWidth="1"/>
    <col min="10498" max="10498" width="10.5703125" style="80" customWidth="1"/>
    <col min="10499" max="10499" width="7.42578125" style="80" customWidth="1"/>
    <col min="10500" max="10500" width="7.5703125" style="80" customWidth="1"/>
    <col min="10501" max="10501" width="6.28515625" style="80" customWidth="1"/>
    <col min="10502" max="10502" width="6" style="80" customWidth="1"/>
    <col min="10503" max="10503" width="6.42578125" style="80" customWidth="1"/>
    <col min="10504" max="10506" width="7.42578125" style="80" customWidth="1"/>
    <col min="10507" max="10507" width="6.85546875" style="80" customWidth="1"/>
    <col min="10508" max="10508" width="7" style="80" customWidth="1"/>
    <col min="10509" max="10509" width="6.5703125" style="80" customWidth="1"/>
    <col min="10510" max="10510" width="6.7109375" style="80" customWidth="1"/>
    <col min="10511" max="10512" width="6.5703125" style="80" customWidth="1"/>
    <col min="10513" max="10513" width="6.85546875" style="80" customWidth="1"/>
    <col min="10514" max="10514" width="6.7109375" style="80" customWidth="1"/>
    <col min="10515" max="10515" width="4.7109375" style="80" customWidth="1"/>
    <col min="10516" max="10516" width="4.42578125" style="80" customWidth="1"/>
    <col min="10517" max="10517" width="5.28515625" style="80" customWidth="1"/>
    <col min="10518" max="10519" width="4.5703125" style="80" customWidth="1"/>
    <col min="10520" max="10520" width="5" style="80" customWidth="1"/>
    <col min="10521" max="10521" width="5.42578125" style="80" customWidth="1"/>
    <col min="10522" max="10522" width="4.7109375" style="80" customWidth="1"/>
    <col min="10523" max="10752" width="8.85546875" style="80"/>
    <col min="10753" max="10753" width="1.7109375" style="80" customWidth="1"/>
    <col min="10754" max="10754" width="10.5703125" style="80" customWidth="1"/>
    <col min="10755" max="10755" width="7.42578125" style="80" customWidth="1"/>
    <col min="10756" max="10756" width="7.5703125" style="80" customWidth="1"/>
    <col min="10757" max="10757" width="6.28515625" style="80" customWidth="1"/>
    <col min="10758" max="10758" width="6" style="80" customWidth="1"/>
    <col min="10759" max="10759" width="6.42578125" style="80" customWidth="1"/>
    <col min="10760" max="10762" width="7.42578125" style="80" customWidth="1"/>
    <col min="10763" max="10763" width="6.85546875" style="80" customWidth="1"/>
    <col min="10764" max="10764" width="7" style="80" customWidth="1"/>
    <col min="10765" max="10765" width="6.5703125" style="80" customWidth="1"/>
    <col min="10766" max="10766" width="6.7109375" style="80" customWidth="1"/>
    <col min="10767" max="10768" width="6.5703125" style="80" customWidth="1"/>
    <col min="10769" max="10769" width="6.85546875" style="80" customWidth="1"/>
    <col min="10770" max="10770" width="6.7109375" style="80" customWidth="1"/>
    <col min="10771" max="10771" width="4.7109375" style="80" customWidth="1"/>
    <col min="10772" max="10772" width="4.42578125" style="80" customWidth="1"/>
    <col min="10773" max="10773" width="5.28515625" style="80" customWidth="1"/>
    <col min="10774" max="10775" width="4.5703125" style="80" customWidth="1"/>
    <col min="10776" max="10776" width="5" style="80" customWidth="1"/>
    <col min="10777" max="10777" width="5.42578125" style="80" customWidth="1"/>
    <col min="10778" max="10778" width="4.7109375" style="80" customWidth="1"/>
    <col min="10779" max="11008" width="8.85546875" style="80"/>
    <col min="11009" max="11009" width="1.7109375" style="80" customWidth="1"/>
    <col min="11010" max="11010" width="10.5703125" style="80" customWidth="1"/>
    <col min="11011" max="11011" width="7.42578125" style="80" customWidth="1"/>
    <col min="11012" max="11012" width="7.5703125" style="80" customWidth="1"/>
    <col min="11013" max="11013" width="6.28515625" style="80" customWidth="1"/>
    <col min="11014" max="11014" width="6" style="80" customWidth="1"/>
    <col min="11015" max="11015" width="6.42578125" style="80" customWidth="1"/>
    <col min="11016" max="11018" width="7.42578125" style="80" customWidth="1"/>
    <col min="11019" max="11019" width="6.85546875" style="80" customWidth="1"/>
    <col min="11020" max="11020" width="7" style="80" customWidth="1"/>
    <col min="11021" max="11021" width="6.5703125" style="80" customWidth="1"/>
    <col min="11022" max="11022" width="6.7109375" style="80" customWidth="1"/>
    <col min="11023" max="11024" width="6.5703125" style="80" customWidth="1"/>
    <col min="11025" max="11025" width="6.85546875" style="80" customWidth="1"/>
    <col min="11026" max="11026" width="6.7109375" style="80" customWidth="1"/>
    <col min="11027" max="11027" width="4.7109375" style="80" customWidth="1"/>
    <col min="11028" max="11028" width="4.42578125" style="80" customWidth="1"/>
    <col min="11029" max="11029" width="5.28515625" style="80" customWidth="1"/>
    <col min="11030" max="11031" width="4.5703125" style="80" customWidth="1"/>
    <col min="11032" max="11032" width="5" style="80" customWidth="1"/>
    <col min="11033" max="11033" width="5.42578125" style="80" customWidth="1"/>
    <col min="11034" max="11034" width="4.7109375" style="80" customWidth="1"/>
    <col min="11035" max="11264" width="9.140625" style="80"/>
    <col min="11265" max="11265" width="1.7109375" style="80" customWidth="1"/>
    <col min="11266" max="11266" width="10.5703125" style="80" customWidth="1"/>
    <col min="11267" max="11267" width="7.42578125" style="80" customWidth="1"/>
    <col min="11268" max="11268" width="7.5703125" style="80" customWidth="1"/>
    <col min="11269" max="11269" width="6.28515625" style="80" customWidth="1"/>
    <col min="11270" max="11270" width="6" style="80" customWidth="1"/>
    <col min="11271" max="11271" width="6.42578125" style="80" customWidth="1"/>
    <col min="11272" max="11274" width="7.42578125" style="80" customWidth="1"/>
    <col min="11275" max="11275" width="6.85546875" style="80" customWidth="1"/>
    <col min="11276" max="11276" width="7" style="80" customWidth="1"/>
    <col min="11277" max="11277" width="6.5703125" style="80" customWidth="1"/>
    <col min="11278" max="11278" width="6.7109375" style="80" customWidth="1"/>
    <col min="11279" max="11280" width="6.5703125" style="80" customWidth="1"/>
    <col min="11281" max="11281" width="6.85546875" style="80" customWidth="1"/>
    <col min="11282" max="11282" width="6.7109375" style="80" customWidth="1"/>
    <col min="11283" max="11283" width="4.7109375" style="80" customWidth="1"/>
    <col min="11284" max="11284" width="4.42578125" style="80" customWidth="1"/>
    <col min="11285" max="11285" width="5.28515625" style="80" customWidth="1"/>
    <col min="11286" max="11287" width="4.5703125" style="80" customWidth="1"/>
    <col min="11288" max="11288" width="5" style="80" customWidth="1"/>
    <col min="11289" max="11289" width="5.42578125" style="80" customWidth="1"/>
    <col min="11290" max="11290" width="4.7109375" style="80" customWidth="1"/>
    <col min="11291" max="11520" width="8.85546875" style="80"/>
    <col min="11521" max="11521" width="1.7109375" style="80" customWidth="1"/>
    <col min="11522" max="11522" width="10.5703125" style="80" customWidth="1"/>
    <col min="11523" max="11523" width="7.42578125" style="80" customWidth="1"/>
    <col min="11524" max="11524" width="7.5703125" style="80" customWidth="1"/>
    <col min="11525" max="11525" width="6.28515625" style="80" customWidth="1"/>
    <col min="11526" max="11526" width="6" style="80" customWidth="1"/>
    <col min="11527" max="11527" width="6.42578125" style="80" customWidth="1"/>
    <col min="11528" max="11530" width="7.42578125" style="80" customWidth="1"/>
    <col min="11531" max="11531" width="6.85546875" style="80" customWidth="1"/>
    <col min="11532" max="11532" width="7" style="80" customWidth="1"/>
    <col min="11533" max="11533" width="6.5703125" style="80" customWidth="1"/>
    <col min="11534" max="11534" width="6.7109375" style="80" customWidth="1"/>
    <col min="11535" max="11536" width="6.5703125" style="80" customWidth="1"/>
    <col min="11537" max="11537" width="6.85546875" style="80" customWidth="1"/>
    <col min="11538" max="11538" width="6.7109375" style="80" customWidth="1"/>
    <col min="11539" max="11539" width="4.7109375" style="80" customWidth="1"/>
    <col min="11540" max="11540" width="4.42578125" style="80" customWidth="1"/>
    <col min="11541" max="11541" width="5.28515625" style="80" customWidth="1"/>
    <col min="11542" max="11543" width="4.5703125" style="80" customWidth="1"/>
    <col min="11544" max="11544" width="5" style="80" customWidth="1"/>
    <col min="11545" max="11545" width="5.42578125" style="80" customWidth="1"/>
    <col min="11546" max="11546" width="4.7109375" style="80" customWidth="1"/>
    <col min="11547" max="11776" width="8.85546875" style="80"/>
    <col min="11777" max="11777" width="1.7109375" style="80" customWidth="1"/>
    <col min="11778" max="11778" width="10.5703125" style="80" customWidth="1"/>
    <col min="11779" max="11779" width="7.42578125" style="80" customWidth="1"/>
    <col min="11780" max="11780" width="7.5703125" style="80" customWidth="1"/>
    <col min="11781" max="11781" width="6.28515625" style="80" customWidth="1"/>
    <col min="11782" max="11782" width="6" style="80" customWidth="1"/>
    <col min="11783" max="11783" width="6.42578125" style="80" customWidth="1"/>
    <col min="11784" max="11786" width="7.42578125" style="80" customWidth="1"/>
    <col min="11787" max="11787" width="6.85546875" style="80" customWidth="1"/>
    <col min="11788" max="11788" width="7" style="80" customWidth="1"/>
    <col min="11789" max="11789" width="6.5703125" style="80" customWidth="1"/>
    <col min="11790" max="11790" width="6.7109375" style="80" customWidth="1"/>
    <col min="11791" max="11792" width="6.5703125" style="80" customWidth="1"/>
    <col min="11793" max="11793" width="6.85546875" style="80" customWidth="1"/>
    <col min="11794" max="11794" width="6.7109375" style="80" customWidth="1"/>
    <col min="11795" max="11795" width="4.7109375" style="80" customWidth="1"/>
    <col min="11796" max="11796" width="4.42578125" style="80" customWidth="1"/>
    <col min="11797" max="11797" width="5.28515625" style="80" customWidth="1"/>
    <col min="11798" max="11799" width="4.5703125" style="80" customWidth="1"/>
    <col min="11800" max="11800" width="5" style="80" customWidth="1"/>
    <col min="11801" max="11801" width="5.42578125" style="80" customWidth="1"/>
    <col min="11802" max="11802" width="4.7109375" style="80" customWidth="1"/>
    <col min="11803" max="12032" width="8.85546875" style="80"/>
    <col min="12033" max="12033" width="1.7109375" style="80" customWidth="1"/>
    <col min="12034" max="12034" width="10.5703125" style="80" customWidth="1"/>
    <col min="12035" max="12035" width="7.42578125" style="80" customWidth="1"/>
    <col min="12036" max="12036" width="7.5703125" style="80" customWidth="1"/>
    <col min="12037" max="12037" width="6.28515625" style="80" customWidth="1"/>
    <col min="12038" max="12038" width="6" style="80" customWidth="1"/>
    <col min="12039" max="12039" width="6.42578125" style="80" customWidth="1"/>
    <col min="12040" max="12042" width="7.42578125" style="80" customWidth="1"/>
    <col min="12043" max="12043" width="6.85546875" style="80" customWidth="1"/>
    <col min="12044" max="12044" width="7" style="80" customWidth="1"/>
    <col min="12045" max="12045" width="6.5703125" style="80" customWidth="1"/>
    <col min="12046" max="12046" width="6.7109375" style="80" customWidth="1"/>
    <col min="12047" max="12048" width="6.5703125" style="80" customWidth="1"/>
    <col min="12049" max="12049" width="6.85546875" style="80" customWidth="1"/>
    <col min="12050" max="12050" width="6.7109375" style="80" customWidth="1"/>
    <col min="12051" max="12051" width="4.7109375" style="80" customWidth="1"/>
    <col min="12052" max="12052" width="4.42578125" style="80" customWidth="1"/>
    <col min="12053" max="12053" width="5.28515625" style="80" customWidth="1"/>
    <col min="12054" max="12055" width="4.5703125" style="80" customWidth="1"/>
    <col min="12056" max="12056" width="5" style="80" customWidth="1"/>
    <col min="12057" max="12057" width="5.42578125" style="80" customWidth="1"/>
    <col min="12058" max="12058" width="4.7109375" style="80" customWidth="1"/>
    <col min="12059" max="12288" width="9.140625" style="80"/>
    <col min="12289" max="12289" width="1.7109375" style="80" customWidth="1"/>
    <col min="12290" max="12290" width="10.5703125" style="80" customWidth="1"/>
    <col min="12291" max="12291" width="7.42578125" style="80" customWidth="1"/>
    <col min="12292" max="12292" width="7.5703125" style="80" customWidth="1"/>
    <col min="12293" max="12293" width="6.28515625" style="80" customWidth="1"/>
    <col min="12294" max="12294" width="6" style="80" customWidth="1"/>
    <col min="12295" max="12295" width="6.42578125" style="80" customWidth="1"/>
    <col min="12296" max="12298" width="7.42578125" style="80" customWidth="1"/>
    <col min="12299" max="12299" width="6.85546875" style="80" customWidth="1"/>
    <col min="12300" max="12300" width="7" style="80" customWidth="1"/>
    <col min="12301" max="12301" width="6.5703125" style="80" customWidth="1"/>
    <col min="12302" max="12302" width="6.7109375" style="80" customWidth="1"/>
    <col min="12303" max="12304" width="6.5703125" style="80" customWidth="1"/>
    <col min="12305" max="12305" width="6.85546875" style="80" customWidth="1"/>
    <col min="12306" max="12306" width="6.7109375" style="80" customWidth="1"/>
    <col min="12307" max="12307" width="4.7109375" style="80" customWidth="1"/>
    <col min="12308" max="12308" width="4.42578125" style="80" customWidth="1"/>
    <col min="12309" max="12309" width="5.28515625" style="80" customWidth="1"/>
    <col min="12310" max="12311" width="4.5703125" style="80" customWidth="1"/>
    <col min="12312" max="12312" width="5" style="80" customWidth="1"/>
    <col min="12313" max="12313" width="5.42578125" style="80" customWidth="1"/>
    <col min="12314" max="12314" width="4.7109375" style="80" customWidth="1"/>
    <col min="12315" max="12544" width="8.85546875" style="80"/>
    <col min="12545" max="12545" width="1.7109375" style="80" customWidth="1"/>
    <col min="12546" max="12546" width="10.5703125" style="80" customWidth="1"/>
    <col min="12547" max="12547" width="7.42578125" style="80" customWidth="1"/>
    <col min="12548" max="12548" width="7.5703125" style="80" customWidth="1"/>
    <col min="12549" max="12549" width="6.28515625" style="80" customWidth="1"/>
    <col min="12550" max="12550" width="6" style="80" customWidth="1"/>
    <col min="12551" max="12551" width="6.42578125" style="80" customWidth="1"/>
    <col min="12552" max="12554" width="7.42578125" style="80" customWidth="1"/>
    <col min="12555" max="12555" width="6.85546875" style="80" customWidth="1"/>
    <col min="12556" max="12556" width="7" style="80" customWidth="1"/>
    <col min="12557" max="12557" width="6.5703125" style="80" customWidth="1"/>
    <col min="12558" max="12558" width="6.7109375" style="80" customWidth="1"/>
    <col min="12559" max="12560" width="6.5703125" style="80" customWidth="1"/>
    <col min="12561" max="12561" width="6.85546875" style="80" customWidth="1"/>
    <col min="12562" max="12562" width="6.7109375" style="80" customWidth="1"/>
    <col min="12563" max="12563" width="4.7109375" style="80" customWidth="1"/>
    <col min="12564" max="12564" width="4.42578125" style="80" customWidth="1"/>
    <col min="12565" max="12565" width="5.28515625" style="80" customWidth="1"/>
    <col min="12566" max="12567" width="4.5703125" style="80" customWidth="1"/>
    <col min="12568" max="12568" width="5" style="80" customWidth="1"/>
    <col min="12569" max="12569" width="5.42578125" style="80" customWidth="1"/>
    <col min="12570" max="12570" width="4.7109375" style="80" customWidth="1"/>
    <col min="12571" max="12800" width="8.85546875" style="80"/>
    <col min="12801" max="12801" width="1.7109375" style="80" customWidth="1"/>
    <col min="12802" max="12802" width="10.5703125" style="80" customWidth="1"/>
    <col min="12803" max="12803" width="7.42578125" style="80" customWidth="1"/>
    <col min="12804" max="12804" width="7.5703125" style="80" customWidth="1"/>
    <col min="12805" max="12805" width="6.28515625" style="80" customWidth="1"/>
    <col min="12806" max="12806" width="6" style="80" customWidth="1"/>
    <col min="12807" max="12807" width="6.42578125" style="80" customWidth="1"/>
    <col min="12808" max="12810" width="7.42578125" style="80" customWidth="1"/>
    <col min="12811" max="12811" width="6.85546875" style="80" customWidth="1"/>
    <col min="12812" max="12812" width="7" style="80" customWidth="1"/>
    <col min="12813" max="12813" width="6.5703125" style="80" customWidth="1"/>
    <col min="12814" max="12814" width="6.7109375" style="80" customWidth="1"/>
    <col min="12815" max="12816" width="6.5703125" style="80" customWidth="1"/>
    <col min="12817" max="12817" width="6.85546875" style="80" customWidth="1"/>
    <col min="12818" max="12818" width="6.7109375" style="80" customWidth="1"/>
    <col min="12819" max="12819" width="4.7109375" style="80" customWidth="1"/>
    <col min="12820" max="12820" width="4.42578125" style="80" customWidth="1"/>
    <col min="12821" max="12821" width="5.28515625" style="80" customWidth="1"/>
    <col min="12822" max="12823" width="4.5703125" style="80" customWidth="1"/>
    <col min="12824" max="12824" width="5" style="80" customWidth="1"/>
    <col min="12825" max="12825" width="5.42578125" style="80" customWidth="1"/>
    <col min="12826" max="12826" width="4.7109375" style="80" customWidth="1"/>
    <col min="12827" max="13056" width="8.85546875" style="80"/>
    <col min="13057" max="13057" width="1.7109375" style="80" customWidth="1"/>
    <col min="13058" max="13058" width="10.5703125" style="80" customWidth="1"/>
    <col min="13059" max="13059" width="7.42578125" style="80" customWidth="1"/>
    <col min="13060" max="13060" width="7.5703125" style="80" customWidth="1"/>
    <col min="13061" max="13061" width="6.28515625" style="80" customWidth="1"/>
    <col min="13062" max="13062" width="6" style="80" customWidth="1"/>
    <col min="13063" max="13063" width="6.42578125" style="80" customWidth="1"/>
    <col min="13064" max="13066" width="7.42578125" style="80" customWidth="1"/>
    <col min="13067" max="13067" width="6.85546875" style="80" customWidth="1"/>
    <col min="13068" max="13068" width="7" style="80" customWidth="1"/>
    <col min="13069" max="13069" width="6.5703125" style="80" customWidth="1"/>
    <col min="13070" max="13070" width="6.7109375" style="80" customWidth="1"/>
    <col min="13071" max="13072" width="6.5703125" style="80" customWidth="1"/>
    <col min="13073" max="13073" width="6.85546875" style="80" customWidth="1"/>
    <col min="13074" max="13074" width="6.7109375" style="80" customWidth="1"/>
    <col min="13075" max="13075" width="4.7109375" style="80" customWidth="1"/>
    <col min="13076" max="13076" width="4.42578125" style="80" customWidth="1"/>
    <col min="13077" max="13077" width="5.28515625" style="80" customWidth="1"/>
    <col min="13078" max="13079" width="4.5703125" style="80" customWidth="1"/>
    <col min="13080" max="13080" width="5" style="80" customWidth="1"/>
    <col min="13081" max="13081" width="5.42578125" style="80" customWidth="1"/>
    <col min="13082" max="13082" width="4.7109375" style="80" customWidth="1"/>
    <col min="13083" max="13312" width="9.140625" style="80"/>
    <col min="13313" max="13313" width="1.7109375" style="80" customWidth="1"/>
    <col min="13314" max="13314" width="10.5703125" style="80" customWidth="1"/>
    <col min="13315" max="13315" width="7.42578125" style="80" customWidth="1"/>
    <col min="13316" max="13316" width="7.5703125" style="80" customWidth="1"/>
    <col min="13317" max="13317" width="6.28515625" style="80" customWidth="1"/>
    <col min="13318" max="13318" width="6" style="80" customWidth="1"/>
    <col min="13319" max="13319" width="6.42578125" style="80" customWidth="1"/>
    <col min="13320" max="13322" width="7.42578125" style="80" customWidth="1"/>
    <col min="13323" max="13323" width="6.85546875" style="80" customWidth="1"/>
    <col min="13324" max="13324" width="7" style="80" customWidth="1"/>
    <col min="13325" max="13325" width="6.5703125" style="80" customWidth="1"/>
    <col min="13326" max="13326" width="6.7109375" style="80" customWidth="1"/>
    <col min="13327" max="13328" width="6.5703125" style="80" customWidth="1"/>
    <col min="13329" max="13329" width="6.85546875" style="80" customWidth="1"/>
    <col min="13330" max="13330" width="6.7109375" style="80" customWidth="1"/>
    <col min="13331" max="13331" width="4.7109375" style="80" customWidth="1"/>
    <col min="13332" max="13332" width="4.42578125" style="80" customWidth="1"/>
    <col min="13333" max="13333" width="5.28515625" style="80" customWidth="1"/>
    <col min="13334" max="13335" width="4.5703125" style="80" customWidth="1"/>
    <col min="13336" max="13336" width="5" style="80" customWidth="1"/>
    <col min="13337" max="13337" width="5.42578125" style="80" customWidth="1"/>
    <col min="13338" max="13338" width="4.7109375" style="80" customWidth="1"/>
    <col min="13339" max="13568" width="8.85546875" style="80"/>
    <col min="13569" max="13569" width="1.7109375" style="80" customWidth="1"/>
    <col min="13570" max="13570" width="10.5703125" style="80" customWidth="1"/>
    <col min="13571" max="13571" width="7.42578125" style="80" customWidth="1"/>
    <col min="13572" max="13572" width="7.5703125" style="80" customWidth="1"/>
    <col min="13573" max="13573" width="6.28515625" style="80" customWidth="1"/>
    <col min="13574" max="13574" width="6" style="80" customWidth="1"/>
    <col min="13575" max="13575" width="6.42578125" style="80" customWidth="1"/>
    <col min="13576" max="13578" width="7.42578125" style="80" customWidth="1"/>
    <col min="13579" max="13579" width="6.85546875" style="80" customWidth="1"/>
    <col min="13580" max="13580" width="7" style="80" customWidth="1"/>
    <col min="13581" max="13581" width="6.5703125" style="80" customWidth="1"/>
    <col min="13582" max="13582" width="6.7109375" style="80" customWidth="1"/>
    <col min="13583" max="13584" width="6.5703125" style="80" customWidth="1"/>
    <col min="13585" max="13585" width="6.85546875" style="80" customWidth="1"/>
    <col min="13586" max="13586" width="6.7109375" style="80" customWidth="1"/>
    <col min="13587" max="13587" width="4.7109375" style="80" customWidth="1"/>
    <col min="13588" max="13588" width="4.42578125" style="80" customWidth="1"/>
    <col min="13589" max="13589" width="5.28515625" style="80" customWidth="1"/>
    <col min="13590" max="13591" width="4.5703125" style="80" customWidth="1"/>
    <col min="13592" max="13592" width="5" style="80" customWidth="1"/>
    <col min="13593" max="13593" width="5.42578125" style="80" customWidth="1"/>
    <col min="13594" max="13594" width="4.7109375" style="80" customWidth="1"/>
    <col min="13595" max="13824" width="8.85546875" style="80"/>
    <col min="13825" max="13825" width="1.7109375" style="80" customWidth="1"/>
    <col min="13826" max="13826" width="10.5703125" style="80" customWidth="1"/>
    <col min="13827" max="13827" width="7.42578125" style="80" customWidth="1"/>
    <col min="13828" max="13828" width="7.5703125" style="80" customWidth="1"/>
    <col min="13829" max="13829" width="6.28515625" style="80" customWidth="1"/>
    <col min="13830" max="13830" width="6" style="80" customWidth="1"/>
    <col min="13831" max="13831" width="6.42578125" style="80" customWidth="1"/>
    <col min="13832" max="13834" width="7.42578125" style="80" customWidth="1"/>
    <col min="13835" max="13835" width="6.85546875" style="80" customWidth="1"/>
    <col min="13836" max="13836" width="7" style="80" customWidth="1"/>
    <col min="13837" max="13837" width="6.5703125" style="80" customWidth="1"/>
    <col min="13838" max="13838" width="6.7109375" style="80" customWidth="1"/>
    <col min="13839" max="13840" width="6.5703125" style="80" customWidth="1"/>
    <col min="13841" max="13841" width="6.85546875" style="80" customWidth="1"/>
    <col min="13842" max="13842" width="6.7109375" style="80" customWidth="1"/>
    <col min="13843" max="13843" width="4.7109375" style="80" customWidth="1"/>
    <col min="13844" max="13844" width="4.42578125" style="80" customWidth="1"/>
    <col min="13845" max="13845" width="5.28515625" style="80" customWidth="1"/>
    <col min="13846" max="13847" width="4.5703125" style="80" customWidth="1"/>
    <col min="13848" max="13848" width="5" style="80" customWidth="1"/>
    <col min="13849" max="13849" width="5.42578125" style="80" customWidth="1"/>
    <col min="13850" max="13850" width="4.7109375" style="80" customWidth="1"/>
    <col min="13851" max="14080" width="8.85546875" style="80"/>
    <col min="14081" max="14081" width="1.7109375" style="80" customWidth="1"/>
    <col min="14082" max="14082" width="10.5703125" style="80" customWidth="1"/>
    <col min="14083" max="14083" width="7.42578125" style="80" customWidth="1"/>
    <col min="14084" max="14084" width="7.5703125" style="80" customWidth="1"/>
    <col min="14085" max="14085" width="6.28515625" style="80" customWidth="1"/>
    <col min="14086" max="14086" width="6" style="80" customWidth="1"/>
    <col min="14087" max="14087" width="6.42578125" style="80" customWidth="1"/>
    <col min="14088" max="14090" width="7.42578125" style="80" customWidth="1"/>
    <col min="14091" max="14091" width="6.85546875" style="80" customWidth="1"/>
    <col min="14092" max="14092" width="7" style="80" customWidth="1"/>
    <col min="14093" max="14093" width="6.5703125" style="80" customWidth="1"/>
    <col min="14094" max="14094" width="6.7109375" style="80" customWidth="1"/>
    <col min="14095" max="14096" width="6.5703125" style="80" customWidth="1"/>
    <col min="14097" max="14097" width="6.85546875" style="80" customWidth="1"/>
    <col min="14098" max="14098" width="6.7109375" style="80" customWidth="1"/>
    <col min="14099" max="14099" width="4.7109375" style="80" customWidth="1"/>
    <col min="14100" max="14100" width="4.42578125" style="80" customWidth="1"/>
    <col min="14101" max="14101" width="5.28515625" style="80" customWidth="1"/>
    <col min="14102" max="14103" width="4.5703125" style="80" customWidth="1"/>
    <col min="14104" max="14104" width="5" style="80" customWidth="1"/>
    <col min="14105" max="14105" width="5.42578125" style="80" customWidth="1"/>
    <col min="14106" max="14106" width="4.7109375" style="80" customWidth="1"/>
    <col min="14107" max="14336" width="9.140625" style="80"/>
    <col min="14337" max="14337" width="1.7109375" style="80" customWidth="1"/>
    <col min="14338" max="14338" width="10.5703125" style="80" customWidth="1"/>
    <col min="14339" max="14339" width="7.42578125" style="80" customWidth="1"/>
    <col min="14340" max="14340" width="7.5703125" style="80" customWidth="1"/>
    <col min="14341" max="14341" width="6.28515625" style="80" customWidth="1"/>
    <col min="14342" max="14342" width="6" style="80" customWidth="1"/>
    <col min="14343" max="14343" width="6.42578125" style="80" customWidth="1"/>
    <col min="14344" max="14346" width="7.42578125" style="80" customWidth="1"/>
    <col min="14347" max="14347" width="6.85546875" style="80" customWidth="1"/>
    <col min="14348" max="14348" width="7" style="80" customWidth="1"/>
    <col min="14349" max="14349" width="6.5703125" style="80" customWidth="1"/>
    <col min="14350" max="14350" width="6.7109375" style="80" customWidth="1"/>
    <col min="14351" max="14352" width="6.5703125" style="80" customWidth="1"/>
    <col min="14353" max="14353" width="6.85546875" style="80" customWidth="1"/>
    <col min="14354" max="14354" width="6.7109375" style="80" customWidth="1"/>
    <col min="14355" max="14355" width="4.7109375" style="80" customWidth="1"/>
    <col min="14356" max="14356" width="4.42578125" style="80" customWidth="1"/>
    <col min="14357" max="14357" width="5.28515625" style="80" customWidth="1"/>
    <col min="14358" max="14359" width="4.5703125" style="80" customWidth="1"/>
    <col min="14360" max="14360" width="5" style="80" customWidth="1"/>
    <col min="14361" max="14361" width="5.42578125" style="80" customWidth="1"/>
    <col min="14362" max="14362" width="4.7109375" style="80" customWidth="1"/>
    <col min="14363" max="14592" width="8.85546875" style="80"/>
    <col min="14593" max="14593" width="1.7109375" style="80" customWidth="1"/>
    <col min="14594" max="14594" width="10.5703125" style="80" customWidth="1"/>
    <col min="14595" max="14595" width="7.42578125" style="80" customWidth="1"/>
    <col min="14596" max="14596" width="7.5703125" style="80" customWidth="1"/>
    <col min="14597" max="14597" width="6.28515625" style="80" customWidth="1"/>
    <col min="14598" max="14598" width="6" style="80" customWidth="1"/>
    <col min="14599" max="14599" width="6.42578125" style="80" customWidth="1"/>
    <col min="14600" max="14602" width="7.42578125" style="80" customWidth="1"/>
    <col min="14603" max="14603" width="6.85546875" style="80" customWidth="1"/>
    <col min="14604" max="14604" width="7" style="80" customWidth="1"/>
    <col min="14605" max="14605" width="6.5703125" style="80" customWidth="1"/>
    <col min="14606" max="14606" width="6.7109375" style="80" customWidth="1"/>
    <col min="14607" max="14608" width="6.5703125" style="80" customWidth="1"/>
    <col min="14609" max="14609" width="6.85546875" style="80" customWidth="1"/>
    <col min="14610" max="14610" width="6.7109375" style="80" customWidth="1"/>
    <col min="14611" max="14611" width="4.7109375" style="80" customWidth="1"/>
    <col min="14612" max="14612" width="4.42578125" style="80" customWidth="1"/>
    <col min="14613" max="14613" width="5.28515625" style="80" customWidth="1"/>
    <col min="14614" max="14615" width="4.5703125" style="80" customWidth="1"/>
    <col min="14616" max="14616" width="5" style="80" customWidth="1"/>
    <col min="14617" max="14617" width="5.42578125" style="80" customWidth="1"/>
    <col min="14618" max="14618" width="4.7109375" style="80" customWidth="1"/>
    <col min="14619" max="14848" width="8.85546875" style="80"/>
    <col min="14849" max="14849" width="1.7109375" style="80" customWidth="1"/>
    <col min="14850" max="14850" width="10.5703125" style="80" customWidth="1"/>
    <col min="14851" max="14851" width="7.42578125" style="80" customWidth="1"/>
    <col min="14852" max="14852" width="7.5703125" style="80" customWidth="1"/>
    <col min="14853" max="14853" width="6.28515625" style="80" customWidth="1"/>
    <col min="14854" max="14854" width="6" style="80" customWidth="1"/>
    <col min="14855" max="14855" width="6.42578125" style="80" customWidth="1"/>
    <col min="14856" max="14858" width="7.42578125" style="80" customWidth="1"/>
    <col min="14859" max="14859" width="6.85546875" style="80" customWidth="1"/>
    <col min="14860" max="14860" width="7" style="80" customWidth="1"/>
    <col min="14861" max="14861" width="6.5703125" style="80" customWidth="1"/>
    <col min="14862" max="14862" width="6.7109375" style="80" customWidth="1"/>
    <col min="14863" max="14864" width="6.5703125" style="80" customWidth="1"/>
    <col min="14865" max="14865" width="6.85546875" style="80" customWidth="1"/>
    <col min="14866" max="14866" width="6.7109375" style="80" customWidth="1"/>
    <col min="14867" max="14867" width="4.7109375" style="80" customWidth="1"/>
    <col min="14868" max="14868" width="4.42578125" style="80" customWidth="1"/>
    <col min="14869" max="14869" width="5.28515625" style="80" customWidth="1"/>
    <col min="14870" max="14871" width="4.5703125" style="80" customWidth="1"/>
    <col min="14872" max="14872" width="5" style="80" customWidth="1"/>
    <col min="14873" max="14873" width="5.42578125" style="80" customWidth="1"/>
    <col min="14874" max="14874" width="4.7109375" style="80" customWidth="1"/>
    <col min="14875" max="15104" width="8.85546875" style="80"/>
    <col min="15105" max="15105" width="1.7109375" style="80" customWidth="1"/>
    <col min="15106" max="15106" width="10.5703125" style="80" customWidth="1"/>
    <col min="15107" max="15107" width="7.42578125" style="80" customWidth="1"/>
    <col min="15108" max="15108" width="7.5703125" style="80" customWidth="1"/>
    <col min="15109" max="15109" width="6.28515625" style="80" customWidth="1"/>
    <col min="15110" max="15110" width="6" style="80" customWidth="1"/>
    <col min="15111" max="15111" width="6.42578125" style="80" customWidth="1"/>
    <col min="15112" max="15114" width="7.42578125" style="80" customWidth="1"/>
    <col min="15115" max="15115" width="6.85546875" style="80" customWidth="1"/>
    <col min="15116" max="15116" width="7" style="80" customWidth="1"/>
    <col min="15117" max="15117" width="6.5703125" style="80" customWidth="1"/>
    <col min="15118" max="15118" width="6.7109375" style="80" customWidth="1"/>
    <col min="15119" max="15120" width="6.5703125" style="80" customWidth="1"/>
    <col min="15121" max="15121" width="6.85546875" style="80" customWidth="1"/>
    <col min="15122" max="15122" width="6.7109375" style="80" customWidth="1"/>
    <col min="15123" max="15123" width="4.7109375" style="80" customWidth="1"/>
    <col min="15124" max="15124" width="4.42578125" style="80" customWidth="1"/>
    <col min="15125" max="15125" width="5.28515625" style="80" customWidth="1"/>
    <col min="15126" max="15127" width="4.5703125" style="80" customWidth="1"/>
    <col min="15128" max="15128" width="5" style="80" customWidth="1"/>
    <col min="15129" max="15129" width="5.42578125" style="80" customWidth="1"/>
    <col min="15130" max="15130" width="4.7109375" style="80" customWidth="1"/>
    <col min="15131" max="15360" width="9.140625" style="80"/>
    <col min="15361" max="15361" width="1.7109375" style="80" customWidth="1"/>
    <col min="15362" max="15362" width="10.5703125" style="80" customWidth="1"/>
    <col min="15363" max="15363" width="7.42578125" style="80" customWidth="1"/>
    <col min="15364" max="15364" width="7.5703125" style="80" customWidth="1"/>
    <col min="15365" max="15365" width="6.28515625" style="80" customWidth="1"/>
    <col min="15366" max="15366" width="6" style="80" customWidth="1"/>
    <col min="15367" max="15367" width="6.42578125" style="80" customWidth="1"/>
    <col min="15368" max="15370" width="7.42578125" style="80" customWidth="1"/>
    <col min="15371" max="15371" width="6.85546875" style="80" customWidth="1"/>
    <col min="15372" max="15372" width="7" style="80" customWidth="1"/>
    <col min="15373" max="15373" width="6.5703125" style="80" customWidth="1"/>
    <col min="15374" max="15374" width="6.7109375" style="80" customWidth="1"/>
    <col min="15375" max="15376" width="6.5703125" style="80" customWidth="1"/>
    <col min="15377" max="15377" width="6.85546875" style="80" customWidth="1"/>
    <col min="15378" max="15378" width="6.7109375" style="80" customWidth="1"/>
    <col min="15379" max="15379" width="4.7109375" style="80" customWidth="1"/>
    <col min="15380" max="15380" width="4.42578125" style="80" customWidth="1"/>
    <col min="15381" max="15381" width="5.28515625" style="80" customWidth="1"/>
    <col min="15382" max="15383" width="4.5703125" style="80" customWidth="1"/>
    <col min="15384" max="15384" width="5" style="80" customWidth="1"/>
    <col min="15385" max="15385" width="5.42578125" style="80" customWidth="1"/>
    <col min="15386" max="15386" width="4.7109375" style="80" customWidth="1"/>
    <col min="15387" max="15616" width="8.85546875" style="80"/>
    <col min="15617" max="15617" width="1.7109375" style="80" customWidth="1"/>
    <col min="15618" max="15618" width="10.5703125" style="80" customWidth="1"/>
    <col min="15619" max="15619" width="7.42578125" style="80" customWidth="1"/>
    <col min="15620" max="15620" width="7.5703125" style="80" customWidth="1"/>
    <col min="15621" max="15621" width="6.28515625" style="80" customWidth="1"/>
    <col min="15622" max="15622" width="6" style="80" customWidth="1"/>
    <col min="15623" max="15623" width="6.42578125" style="80" customWidth="1"/>
    <col min="15624" max="15626" width="7.42578125" style="80" customWidth="1"/>
    <col min="15627" max="15627" width="6.85546875" style="80" customWidth="1"/>
    <col min="15628" max="15628" width="7" style="80" customWidth="1"/>
    <col min="15629" max="15629" width="6.5703125" style="80" customWidth="1"/>
    <col min="15630" max="15630" width="6.7109375" style="80" customWidth="1"/>
    <col min="15631" max="15632" width="6.5703125" style="80" customWidth="1"/>
    <col min="15633" max="15633" width="6.85546875" style="80" customWidth="1"/>
    <col min="15634" max="15634" width="6.7109375" style="80" customWidth="1"/>
    <col min="15635" max="15635" width="4.7109375" style="80" customWidth="1"/>
    <col min="15636" max="15636" width="4.42578125" style="80" customWidth="1"/>
    <col min="15637" max="15637" width="5.28515625" style="80" customWidth="1"/>
    <col min="15638" max="15639" width="4.5703125" style="80" customWidth="1"/>
    <col min="15640" max="15640" width="5" style="80" customWidth="1"/>
    <col min="15641" max="15641" width="5.42578125" style="80" customWidth="1"/>
    <col min="15642" max="15642" width="4.7109375" style="80" customWidth="1"/>
    <col min="15643" max="15872" width="8.85546875" style="80"/>
    <col min="15873" max="15873" width="1.7109375" style="80" customWidth="1"/>
    <col min="15874" max="15874" width="10.5703125" style="80" customWidth="1"/>
    <col min="15875" max="15875" width="7.42578125" style="80" customWidth="1"/>
    <col min="15876" max="15876" width="7.5703125" style="80" customWidth="1"/>
    <col min="15877" max="15877" width="6.28515625" style="80" customWidth="1"/>
    <col min="15878" max="15878" width="6" style="80" customWidth="1"/>
    <col min="15879" max="15879" width="6.42578125" style="80" customWidth="1"/>
    <col min="15880" max="15882" width="7.42578125" style="80" customWidth="1"/>
    <col min="15883" max="15883" width="6.85546875" style="80" customWidth="1"/>
    <col min="15884" max="15884" width="7" style="80" customWidth="1"/>
    <col min="15885" max="15885" width="6.5703125" style="80" customWidth="1"/>
    <col min="15886" max="15886" width="6.7109375" style="80" customWidth="1"/>
    <col min="15887" max="15888" width="6.5703125" style="80" customWidth="1"/>
    <col min="15889" max="15889" width="6.85546875" style="80" customWidth="1"/>
    <col min="15890" max="15890" width="6.7109375" style="80" customWidth="1"/>
    <col min="15891" max="15891" width="4.7109375" style="80" customWidth="1"/>
    <col min="15892" max="15892" width="4.42578125" style="80" customWidth="1"/>
    <col min="15893" max="15893" width="5.28515625" style="80" customWidth="1"/>
    <col min="15894" max="15895" width="4.5703125" style="80" customWidth="1"/>
    <col min="15896" max="15896" width="5" style="80" customWidth="1"/>
    <col min="15897" max="15897" width="5.42578125" style="80" customWidth="1"/>
    <col min="15898" max="15898" width="4.7109375" style="80" customWidth="1"/>
    <col min="15899" max="16128" width="8.85546875" style="80"/>
    <col min="16129" max="16129" width="1.7109375" style="80" customWidth="1"/>
    <col min="16130" max="16130" width="10.5703125" style="80" customWidth="1"/>
    <col min="16131" max="16131" width="7.42578125" style="80" customWidth="1"/>
    <col min="16132" max="16132" width="7.5703125" style="80" customWidth="1"/>
    <col min="16133" max="16133" width="6.28515625" style="80" customWidth="1"/>
    <col min="16134" max="16134" width="6" style="80" customWidth="1"/>
    <col min="16135" max="16135" width="6.42578125" style="80" customWidth="1"/>
    <col min="16136" max="16138" width="7.42578125" style="80" customWidth="1"/>
    <col min="16139" max="16139" width="6.85546875" style="80" customWidth="1"/>
    <col min="16140" max="16140" width="7" style="80" customWidth="1"/>
    <col min="16141" max="16141" width="6.5703125" style="80" customWidth="1"/>
    <col min="16142" max="16142" width="6.7109375" style="80" customWidth="1"/>
    <col min="16143" max="16144" width="6.5703125" style="80" customWidth="1"/>
    <col min="16145" max="16145" width="6.85546875" style="80" customWidth="1"/>
    <col min="16146" max="16146" width="6.7109375" style="80" customWidth="1"/>
    <col min="16147" max="16147" width="4.7109375" style="80" customWidth="1"/>
    <col min="16148" max="16148" width="4.42578125" style="80" customWidth="1"/>
    <col min="16149" max="16149" width="5.28515625" style="80" customWidth="1"/>
    <col min="16150" max="16151" width="4.5703125" style="80" customWidth="1"/>
    <col min="16152" max="16152" width="5" style="80" customWidth="1"/>
    <col min="16153" max="16153" width="5.42578125" style="80" customWidth="1"/>
    <col min="16154" max="16154" width="4.7109375" style="80" customWidth="1"/>
    <col min="16155" max="16384" width="9.140625" style="80"/>
  </cols>
  <sheetData>
    <row r="1" spans="1:26" ht="15.75" x14ac:dyDescent="0.25">
      <c r="R1" s="192" t="s">
        <v>650</v>
      </c>
      <c r="S1" s="192"/>
      <c r="T1" s="192"/>
      <c r="U1" s="192"/>
      <c r="V1" s="192"/>
      <c r="W1" s="192"/>
      <c r="X1" s="192"/>
      <c r="Y1" s="192"/>
      <c r="Z1" s="192"/>
    </row>
    <row r="3" spans="1:26" ht="15.75" x14ac:dyDescent="0.25">
      <c r="A3" s="193" t="s">
        <v>580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row>
    <row r="4" spans="1:26" ht="15.75" x14ac:dyDescent="0.25">
      <c r="A4" s="194" t="s">
        <v>661</v>
      </c>
      <c r="B4" s="194"/>
      <c r="C4" s="194"/>
      <c r="D4" s="194"/>
      <c r="E4" s="194"/>
      <c r="F4" s="194"/>
      <c r="G4" s="194"/>
      <c r="H4" s="194"/>
      <c r="I4" s="194"/>
      <c r="J4" s="194"/>
      <c r="K4" s="194"/>
      <c r="L4" s="194"/>
      <c r="M4" s="194"/>
      <c r="N4" s="194"/>
      <c r="O4" s="194"/>
      <c r="P4" s="194"/>
      <c r="Q4" s="194"/>
      <c r="R4" s="194"/>
      <c r="S4" s="194"/>
      <c r="T4" s="194"/>
      <c r="U4" s="194"/>
      <c r="V4" s="194"/>
      <c r="W4" s="194"/>
      <c r="X4" s="194"/>
      <c r="Y4" s="194"/>
      <c r="Z4" s="194"/>
    </row>
    <row r="5" spans="1:26" ht="16.5" x14ac:dyDescent="0.25">
      <c r="A5" s="81"/>
      <c r="B5" s="81"/>
      <c r="C5" s="81"/>
      <c r="D5" s="81"/>
      <c r="E5" s="81"/>
      <c r="F5" s="81"/>
      <c r="G5" s="81"/>
      <c r="H5" s="81"/>
      <c r="I5" s="81"/>
      <c r="J5" s="81"/>
      <c r="K5" s="81"/>
      <c r="L5" s="81"/>
      <c r="M5" s="81"/>
      <c r="N5" s="81"/>
      <c r="O5" s="81"/>
      <c r="P5" s="81"/>
      <c r="Q5" s="81"/>
      <c r="R5" s="81"/>
      <c r="S5" s="81"/>
      <c r="T5" s="81"/>
      <c r="U5" s="81"/>
      <c r="V5" s="81"/>
      <c r="W5" s="81"/>
      <c r="X5" s="81"/>
      <c r="Y5" s="81"/>
      <c r="Z5" s="81"/>
    </row>
    <row r="6" spans="1:26" ht="15.75" x14ac:dyDescent="0.25">
      <c r="W6" s="82"/>
      <c r="Y6" s="83" t="s">
        <v>5</v>
      </c>
    </row>
    <row r="7" spans="1:26" ht="15" customHeight="1" x14ac:dyDescent="0.25">
      <c r="A7" s="186" t="s">
        <v>0</v>
      </c>
      <c r="B7" s="186" t="s">
        <v>557</v>
      </c>
      <c r="C7" s="189" t="s">
        <v>583</v>
      </c>
      <c r="D7" s="191"/>
      <c r="E7" s="191"/>
      <c r="F7" s="191"/>
      <c r="G7" s="191"/>
      <c r="H7" s="191"/>
      <c r="I7" s="191"/>
      <c r="J7" s="190"/>
      <c r="K7" s="189" t="s">
        <v>134</v>
      </c>
      <c r="L7" s="191"/>
      <c r="M7" s="191"/>
      <c r="N7" s="191"/>
      <c r="O7" s="191"/>
      <c r="P7" s="191"/>
      <c r="Q7" s="191"/>
      <c r="R7" s="190"/>
      <c r="S7" s="189" t="s">
        <v>158</v>
      </c>
      <c r="T7" s="191"/>
      <c r="U7" s="191"/>
      <c r="V7" s="191"/>
      <c r="W7" s="191"/>
      <c r="X7" s="191"/>
      <c r="Y7" s="191"/>
      <c r="Z7" s="190"/>
    </row>
    <row r="8" spans="1:26" ht="15" customHeight="1" x14ac:dyDescent="0.25">
      <c r="A8" s="188"/>
      <c r="B8" s="188"/>
      <c r="C8" s="186" t="s">
        <v>24</v>
      </c>
      <c r="D8" s="186" t="s">
        <v>139</v>
      </c>
      <c r="E8" s="189" t="s">
        <v>140</v>
      </c>
      <c r="F8" s="191"/>
      <c r="G8" s="191"/>
      <c r="H8" s="191"/>
      <c r="I8" s="191"/>
      <c r="J8" s="190"/>
      <c r="K8" s="186" t="s">
        <v>24</v>
      </c>
      <c r="L8" s="186" t="s">
        <v>139</v>
      </c>
      <c r="M8" s="189" t="s">
        <v>140</v>
      </c>
      <c r="N8" s="191"/>
      <c r="O8" s="191"/>
      <c r="P8" s="191"/>
      <c r="Q8" s="191"/>
      <c r="R8" s="190"/>
      <c r="S8" s="186" t="s">
        <v>24</v>
      </c>
      <c r="T8" s="186" t="s">
        <v>139</v>
      </c>
      <c r="U8" s="189" t="s">
        <v>140</v>
      </c>
      <c r="V8" s="191"/>
      <c r="W8" s="191"/>
      <c r="X8" s="191"/>
      <c r="Y8" s="191"/>
      <c r="Z8" s="190"/>
    </row>
    <row r="9" spans="1:26" ht="14.25" customHeight="1" x14ac:dyDescent="0.25">
      <c r="A9" s="188"/>
      <c r="B9" s="188"/>
      <c r="C9" s="188"/>
      <c r="D9" s="188"/>
      <c r="E9" s="186" t="s">
        <v>24</v>
      </c>
      <c r="F9" s="189" t="s">
        <v>159</v>
      </c>
      <c r="G9" s="190"/>
      <c r="H9" s="186" t="s">
        <v>160</v>
      </c>
      <c r="I9" s="186" t="s">
        <v>161</v>
      </c>
      <c r="J9" s="186" t="s">
        <v>162</v>
      </c>
      <c r="K9" s="188"/>
      <c r="L9" s="188"/>
      <c r="M9" s="186" t="s">
        <v>24</v>
      </c>
      <c r="N9" s="189" t="s">
        <v>159</v>
      </c>
      <c r="O9" s="190"/>
      <c r="P9" s="186" t="s">
        <v>160</v>
      </c>
      <c r="Q9" s="186" t="s">
        <v>161</v>
      </c>
      <c r="R9" s="186" t="s">
        <v>162</v>
      </c>
      <c r="S9" s="188"/>
      <c r="T9" s="188"/>
      <c r="U9" s="186" t="s">
        <v>24</v>
      </c>
      <c r="V9" s="189" t="s">
        <v>159</v>
      </c>
      <c r="W9" s="190"/>
      <c r="X9" s="186" t="s">
        <v>160</v>
      </c>
      <c r="Y9" s="186" t="s">
        <v>161</v>
      </c>
      <c r="Z9" s="186" t="s">
        <v>162</v>
      </c>
    </row>
    <row r="10" spans="1:26" ht="93" customHeight="1" x14ac:dyDescent="0.25">
      <c r="A10" s="187"/>
      <c r="B10" s="187"/>
      <c r="C10" s="187"/>
      <c r="D10" s="187"/>
      <c r="E10" s="187"/>
      <c r="F10" s="140" t="s">
        <v>130</v>
      </c>
      <c r="G10" s="140" t="s">
        <v>27</v>
      </c>
      <c r="H10" s="187"/>
      <c r="I10" s="187"/>
      <c r="J10" s="187"/>
      <c r="K10" s="187"/>
      <c r="L10" s="187"/>
      <c r="M10" s="187"/>
      <c r="N10" s="140" t="s">
        <v>130</v>
      </c>
      <c r="O10" s="140" t="s">
        <v>27</v>
      </c>
      <c r="P10" s="187"/>
      <c r="Q10" s="187"/>
      <c r="R10" s="187"/>
      <c r="S10" s="187"/>
      <c r="T10" s="187"/>
      <c r="U10" s="187"/>
      <c r="V10" s="140" t="s">
        <v>130</v>
      </c>
      <c r="W10" s="140" t="s">
        <v>27</v>
      </c>
      <c r="X10" s="187"/>
      <c r="Y10" s="187"/>
      <c r="Z10" s="187"/>
    </row>
    <row r="11" spans="1:26" ht="23.25" customHeight="1" x14ac:dyDescent="0.25">
      <c r="A11" s="140" t="s">
        <v>2</v>
      </c>
      <c r="B11" s="140" t="s">
        <v>3</v>
      </c>
      <c r="C11" s="140">
        <v>1</v>
      </c>
      <c r="D11" s="140">
        <v>2</v>
      </c>
      <c r="E11" s="140" t="s">
        <v>163</v>
      </c>
      <c r="F11" s="140">
        <v>4</v>
      </c>
      <c r="G11" s="140">
        <v>5</v>
      </c>
      <c r="H11" s="140">
        <v>6</v>
      </c>
      <c r="I11" s="140">
        <v>7</v>
      </c>
      <c r="J11" s="140">
        <v>8</v>
      </c>
      <c r="K11" s="140">
        <v>9</v>
      </c>
      <c r="L11" s="140">
        <v>10</v>
      </c>
      <c r="M11" s="140" t="s">
        <v>164</v>
      </c>
      <c r="N11" s="140">
        <v>12</v>
      </c>
      <c r="O11" s="140">
        <v>13</v>
      </c>
      <c r="P11" s="140">
        <v>14</v>
      </c>
      <c r="Q11" s="140">
        <v>15</v>
      </c>
      <c r="R11" s="140">
        <v>16</v>
      </c>
      <c r="S11" s="140" t="s">
        <v>165</v>
      </c>
      <c r="T11" s="140" t="s">
        <v>166</v>
      </c>
      <c r="U11" s="140" t="s">
        <v>167</v>
      </c>
      <c r="V11" s="140" t="s">
        <v>168</v>
      </c>
      <c r="W11" s="140" t="s">
        <v>169</v>
      </c>
      <c r="X11" s="140" t="s">
        <v>170</v>
      </c>
      <c r="Y11" s="140" t="s">
        <v>171</v>
      </c>
      <c r="Z11" s="140" t="s">
        <v>172</v>
      </c>
    </row>
    <row r="12" spans="1:26" s="86" customFormat="1" ht="18.75" customHeight="1" x14ac:dyDescent="0.2">
      <c r="A12" s="84"/>
      <c r="B12" s="140" t="s">
        <v>25</v>
      </c>
      <c r="C12" s="84">
        <f t="shared" ref="C12:R12" si="0">SUM(C13:C22)</f>
        <v>2900643</v>
      </c>
      <c r="D12" s="84">
        <f t="shared" si="0"/>
        <v>2450107</v>
      </c>
      <c r="E12" s="84">
        <f t="shared" si="0"/>
        <v>450536</v>
      </c>
      <c r="F12" s="84">
        <f t="shared" si="0"/>
        <v>0</v>
      </c>
      <c r="G12" s="84">
        <f t="shared" si="0"/>
        <v>450536</v>
      </c>
      <c r="H12" s="84">
        <f>SUM(H13:H22)</f>
        <v>65521</v>
      </c>
      <c r="I12" s="84">
        <f>SUM(I13:I22)</f>
        <v>295759</v>
      </c>
      <c r="J12" s="84">
        <f>SUM(J13:J22)</f>
        <v>91026</v>
      </c>
      <c r="K12" s="84">
        <f t="shared" si="0"/>
        <v>2933208</v>
      </c>
      <c r="L12" s="84">
        <f t="shared" si="0"/>
        <v>2375730</v>
      </c>
      <c r="M12" s="84">
        <f t="shared" si="0"/>
        <v>557478</v>
      </c>
      <c r="N12" s="84">
        <f t="shared" si="0"/>
        <v>0</v>
      </c>
      <c r="O12" s="84">
        <f t="shared" si="0"/>
        <v>557478</v>
      </c>
      <c r="P12" s="84">
        <f t="shared" si="0"/>
        <v>104214</v>
      </c>
      <c r="Q12" s="84">
        <f t="shared" si="0"/>
        <v>353385</v>
      </c>
      <c r="R12" s="84">
        <f t="shared" si="0"/>
        <v>99879</v>
      </c>
      <c r="S12" s="85">
        <f>K12/C12*100</f>
        <v>101.12268210876003</v>
      </c>
      <c r="T12" s="85">
        <f>L12/D12*100</f>
        <v>96.964336659582614</v>
      </c>
      <c r="U12" s="85">
        <f>M12/E12*100</f>
        <v>123.73661594190031</v>
      </c>
      <c r="V12" s="85"/>
      <c r="W12" s="85">
        <f>O12/G12*100</f>
        <v>123.73661594190031</v>
      </c>
      <c r="X12" s="85">
        <f>P12/H12*100</f>
        <v>159.05434898734757</v>
      </c>
      <c r="Y12" s="85">
        <f>Q12/I12*100</f>
        <v>119.48410699251755</v>
      </c>
      <c r="Z12" s="85">
        <f>R12/J12*100</f>
        <v>109.72579263067695</v>
      </c>
    </row>
    <row r="13" spans="1:26" ht="18" customHeight="1" x14ac:dyDescent="0.25">
      <c r="A13" s="87">
        <v>1</v>
      </c>
      <c r="B13" s="88" t="s">
        <v>558</v>
      </c>
      <c r="C13" s="89">
        <f>D13+E13</f>
        <v>75949</v>
      </c>
      <c r="D13" s="89">
        <v>53180</v>
      </c>
      <c r="E13" s="89">
        <f>SUM(F13:G13)</f>
        <v>22769</v>
      </c>
      <c r="F13" s="89">
        <v>0</v>
      </c>
      <c r="G13" s="89">
        <v>22769</v>
      </c>
      <c r="H13" s="142">
        <v>1770</v>
      </c>
      <c r="I13" s="142">
        <f>18526+1770</f>
        <v>20296</v>
      </c>
      <c r="J13" s="143">
        <v>2473</v>
      </c>
      <c r="K13" s="142">
        <f>L13+M13</f>
        <v>64371</v>
      </c>
      <c r="L13" s="142">
        <v>18604</v>
      </c>
      <c r="M13" s="142">
        <f>SUM(N13:O13)</f>
        <v>45767</v>
      </c>
      <c r="N13" s="89">
        <v>0</v>
      </c>
      <c r="O13" s="89">
        <v>45767</v>
      </c>
      <c r="P13" s="89">
        <v>6570</v>
      </c>
      <c r="Q13" s="89">
        <v>35373</v>
      </c>
      <c r="R13" s="89">
        <v>3824</v>
      </c>
      <c r="S13" s="89">
        <f t="shared" ref="S13:Z22" si="1">K13/C13*100</f>
        <v>84.75555965187165</v>
      </c>
      <c r="T13" s="89">
        <f>L13/D13*100</f>
        <v>34.983076344490414</v>
      </c>
      <c r="U13" s="89">
        <f>M13/E13*100</f>
        <v>201.00575343669024</v>
      </c>
      <c r="V13" s="89"/>
      <c r="W13" s="89">
        <f t="shared" si="1"/>
        <v>201.00575343669024</v>
      </c>
      <c r="X13" s="89">
        <f>P13/H13*100</f>
        <v>371.18644067796606</v>
      </c>
      <c r="Y13" s="89">
        <f t="shared" si="1"/>
        <v>174.28557351202207</v>
      </c>
      <c r="Z13" s="89">
        <f t="shared" si="1"/>
        <v>154.63000404367168</v>
      </c>
    </row>
    <row r="14" spans="1:26" ht="18" customHeight="1" x14ac:dyDescent="0.25">
      <c r="A14" s="87">
        <v>2</v>
      </c>
      <c r="B14" s="88" t="s">
        <v>266</v>
      </c>
      <c r="C14" s="89">
        <f t="shared" ref="C14:C22" si="2">D14+E14</f>
        <v>302665</v>
      </c>
      <c r="D14" s="89">
        <v>271331</v>
      </c>
      <c r="E14" s="89">
        <f t="shared" ref="E14:E22" si="3">SUM(F14:G14)</f>
        <v>31334</v>
      </c>
      <c r="F14" s="89">
        <v>0</v>
      </c>
      <c r="G14" s="89">
        <v>31334</v>
      </c>
      <c r="H14" s="142">
        <v>4378</v>
      </c>
      <c r="I14" s="142">
        <v>17305</v>
      </c>
      <c r="J14" s="143">
        <v>9651</v>
      </c>
      <c r="K14" s="142">
        <f t="shared" ref="K14:K22" si="4">L14+M14</f>
        <v>291623</v>
      </c>
      <c r="L14" s="142">
        <v>257830</v>
      </c>
      <c r="M14" s="142">
        <f t="shared" ref="M14:M22" si="5">SUM(N14:O14)</f>
        <v>33793</v>
      </c>
      <c r="N14" s="89">
        <v>0</v>
      </c>
      <c r="O14" s="89">
        <v>33793</v>
      </c>
      <c r="P14" s="89">
        <v>5484</v>
      </c>
      <c r="Q14" s="89">
        <v>17305</v>
      </c>
      <c r="R14" s="89">
        <v>11004</v>
      </c>
      <c r="S14" s="89">
        <f t="shared" si="1"/>
        <v>96.351742025011163</v>
      </c>
      <c r="T14" s="89">
        <f t="shared" si="1"/>
        <v>95.02415868441129</v>
      </c>
      <c r="U14" s="89">
        <f t="shared" si="1"/>
        <v>107.8477053679709</v>
      </c>
      <c r="V14" s="89"/>
      <c r="W14" s="89">
        <f t="shared" si="1"/>
        <v>107.8477053679709</v>
      </c>
      <c r="X14" s="89">
        <f t="shared" si="1"/>
        <v>125.26267702147098</v>
      </c>
      <c r="Y14" s="89">
        <f t="shared" si="1"/>
        <v>100</v>
      </c>
      <c r="Z14" s="89">
        <f t="shared" si="1"/>
        <v>114.01927261423688</v>
      </c>
    </row>
    <row r="15" spans="1:26" ht="18" customHeight="1" x14ac:dyDescent="0.25">
      <c r="A15" s="87">
        <v>3</v>
      </c>
      <c r="B15" s="88" t="s">
        <v>267</v>
      </c>
      <c r="C15" s="89">
        <f t="shared" si="2"/>
        <v>428582</v>
      </c>
      <c r="D15" s="89">
        <v>353115</v>
      </c>
      <c r="E15" s="89">
        <f t="shared" si="3"/>
        <v>75467</v>
      </c>
      <c r="F15" s="89">
        <v>0</v>
      </c>
      <c r="G15" s="89">
        <v>75467</v>
      </c>
      <c r="H15" s="142">
        <v>4390</v>
      </c>
      <c r="I15" s="142">
        <v>52858</v>
      </c>
      <c r="J15" s="143">
        <v>18219</v>
      </c>
      <c r="K15" s="142">
        <f t="shared" si="4"/>
        <v>436585</v>
      </c>
      <c r="L15" s="142">
        <v>348949</v>
      </c>
      <c r="M15" s="142">
        <f t="shared" si="5"/>
        <v>87636</v>
      </c>
      <c r="N15" s="89">
        <v>0</v>
      </c>
      <c r="O15" s="89">
        <v>87636</v>
      </c>
      <c r="P15" s="89">
        <v>4410</v>
      </c>
      <c r="Q15" s="89">
        <v>65007</v>
      </c>
      <c r="R15" s="89">
        <v>18219</v>
      </c>
      <c r="S15" s="89">
        <f t="shared" si="1"/>
        <v>101.86732060609171</v>
      </c>
      <c r="T15" s="89">
        <f t="shared" si="1"/>
        <v>98.820214377752293</v>
      </c>
      <c r="U15" s="89">
        <f t="shared" si="1"/>
        <v>116.12492877681635</v>
      </c>
      <c r="V15" s="89"/>
      <c r="W15" s="89">
        <f t="shared" si="1"/>
        <v>116.12492877681635</v>
      </c>
      <c r="X15" s="89">
        <f t="shared" si="1"/>
        <v>100.45558086560365</v>
      </c>
      <c r="Y15" s="89">
        <f t="shared" si="1"/>
        <v>122.98422187748305</v>
      </c>
      <c r="Z15" s="89">
        <f t="shared" si="1"/>
        <v>100</v>
      </c>
    </row>
    <row r="16" spans="1:26" ht="18" customHeight="1" x14ac:dyDescent="0.25">
      <c r="A16" s="87">
        <v>4</v>
      </c>
      <c r="B16" s="88" t="s">
        <v>268</v>
      </c>
      <c r="C16" s="89">
        <f t="shared" si="2"/>
        <v>401546</v>
      </c>
      <c r="D16" s="89">
        <v>331723</v>
      </c>
      <c r="E16" s="89">
        <f t="shared" si="3"/>
        <v>69823</v>
      </c>
      <c r="F16" s="89">
        <v>0</v>
      </c>
      <c r="G16" s="89">
        <v>69823</v>
      </c>
      <c r="H16" s="142">
        <v>12123</v>
      </c>
      <c r="I16" s="142">
        <v>40933</v>
      </c>
      <c r="J16" s="143">
        <v>16767</v>
      </c>
      <c r="K16" s="142">
        <f t="shared" si="4"/>
        <v>411217</v>
      </c>
      <c r="L16" s="142">
        <v>328394</v>
      </c>
      <c r="M16" s="142">
        <f>N16+O16</f>
        <v>82823</v>
      </c>
      <c r="N16" s="89">
        <v>0</v>
      </c>
      <c r="O16" s="89">
        <v>82823</v>
      </c>
      <c r="P16" s="89">
        <v>12123</v>
      </c>
      <c r="Q16" s="89">
        <v>53933</v>
      </c>
      <c r="R16" s="89">
        <v>16767</v>
      </c>
      <c r="S16" s="89">
        <f t="shared" si="1"/>
        <v>102.40844137408915</v>
      </c>
      <c r="T16" s="89">
        <f t="shared" si="1"/>
        <v>98.996451858930484</v>
      </c>
      <c r="U16" s="89">
        <f t="shared" si="1"/>
        <v>118.61850679575498</v>
      </c>
      <c r="V16" s="89"/>
      <c r="W16" s="89">
        <f t="shared" si="1"/>
        <v>118.61850679575498</v>
      </c>
      <c r="X16" s="89">
        <f t="shared" si="1"/>
        <v>100</v>
      </c>
      <c r="Y16" s="89">
        <f t="shared" si="1"/>
        <v>131.75921628026285</v>
      </c>
      <c r="Z16" s="89">
        <f t="shared" si="1"/>
        <v>100</v>
      </c>
    </row>
    <row r="17" spans="1:26" ht="18" customHeight="1" x14ac:dyDescent="0.25">
      <c r="A17" s="87">
        <v>5</v>
      </c>
      <c r="B17" s="88" t="s">
        <v>269</v>
      </c>
      <c r="C17" s="89">
        <f t="shared" si="2"/>
        <v>270495</v>
      </c>
      <c r="D17" s="89">
        <v>232023</v>
      </c>
      <c r="E17" s="89">
        <f t="shared" si="3"/>
        <v>38472</v>
      </c>
      <c r="F17" s="89">
        <v>0</v>
      </c>
      <c r="G17" s="89">
        <v>38472</v>
      </c>
      <c r="H17" s="142">
        <v>13130</v>
      </c>
      <c r="I17" s="142">
        <v>15280</v>
      </c>
      <c r="J17" s="143">
        <v>10062</v>
      </c>
      <c r="K17" s="142">
        <f t="shared" si="4"/>
        <v>279634</v>
      </c>
      <c r="L17" s="142">
        <v>229928</v>
      </c>
      <c r="M17" s="142">
        <f t="shared" si="5"/>
        <v>49706</v>
      </c>
      <c r="N17" s="89"/>
      <c r="O17" s="89">
        <v>49706</v>
      </c>
      <c r="P17" s="89">
        <v>17096</v>
      </c>
      <c r="Q17" s="89">
        <v>18780</v>
      </c>
      <c r="R17" s="89">
        <v>13830</v>
      </c>
      <c r="S17" s="89">
        <f t="shared" si="1"/>
        <v>103.37862067690715</v>
      </c>
      <c r="T17" s="89">
        <f t="shared" si="1"/>
        <v>99.097072273007413</v>
      </c>
      <c r="U17" s="89">
        <f t="shared" si="1"/>
        <v>129.20045747556665</v>
      </c>
      <c r="V17" s="89"/>
      <c r="W17" s="89">
        <f t="shared" si="1"/>
        <v>129.20045747556665</v>
      </c>
      <c r="X17" s="89">
        <f t="shared" si="1"/>
        <v>130.20563594821019</v>
      </c>
      <c r="Y17" s="89">
        <f t="shared" si="1"/>
        <v>122.90575916230367</v>
      </c>
      <c r="Z17" s="89">
        <f t="shared" si="1"/>
        <v>137.44782349433513</v>
      </c>
    </row>
    <row r="18" spans="1:26" ht="18" customHeight="1" x14ac:dyDescent="0.25">
      <c r="A18" s="87">
        <v>6</v>
      </c>
      <c r="B18" s="88" t="s">
        <v>270</v>
      </c>
      <c r="C18" s="89">
        <f t="shared" si="2"/>
        <v>246492</v>
      </c>
      <c r="D18" s="89">
        <v>209235</v>
      </c>
      <c r="E18" s="89">
        <f t="shared" si="3"/>
        <v>37257</v>
      </c>
      <c r="F18" s="89">
        <v>0</v>
      </c>
      <c r="G18" s="89">
        <v>37257</v>
      </c>
      <c r="H18" s="142">
        <v>3640</v>
      </c>
      <c r="I18" s="142">
        <v>30197</v>
      </c>
      <c r="J18" s="143">
        <v>3420</v>
      </c>
      <c r="K18" s="142">
        <f t="shared" si="4"/>
        <v>259263</v>
      </c>
      <c r="L18" s="142">
        <v>209235</v>
      </c>
      <c r="M18" s="142">
        <f t="shared" si="5"/>
        <v>50028</v>
      </c>
      <c r="N18" s="89">
        <v>0</v>
      </c>
      <c r="O18" s="89">
        <v>50028</v>
      </c>
      <c r="P18" s="89">
        <v>11641</v>
      </c>
      <c r="Q18" s="89">
        <v>34197</v>
      </c>
      <c r="R18" s="89">
        <v>4190</v>
      </c>
      <c r="S18" s="89">
        <f t="shared" si="1"/>
        <v>105.18110121220974</v>
      </c>
      <c r="T18" s="89">
        <f t="shared" si="1"/>
        <v>100</v>
      </c>
      <c r="U18" s="89">
        <f t="shared" si="1"/>
        <v>134.27812223206377</v>
      </c>
      <c r="V18" s="89"/>
      <c r="W18" s="89">
        <f t="shared" si="1"/>
        <v>134.27812223206377</v>
      </c>
      <c r="X18" s="89">
        <f t="shared" si="1"/>
        <v>319.80769230769232</v>
      </c>
      <c r="Y18" s="89">
        <f t="shared" si="1"/>
        <v>113.24634897506374</v>
      </c>
      <c r="Z18" s="89">
        <f t="shared" si="1"/>
        <v>122.51461988304094</v>
      </c>
    </row>
    <row r="19" spans="1:26" ht="18" customHeight="1" x14ac:dyDescent="0.25">
      <c r="A19" s="87">
        <v>7</v>
      </c>
      <c r="B19" s="88" t="s">
        <v>271</v>
      </c>
      <c r="C19" s="89">
        <f t="shared" si="2"/>
        <v>227189</v>
      </c>
      <c r="D19" s="89">
        <v>191593</v>
      </c>
      <c r="E19" s="89">
        <f t="shared" si="3"/>
        <v>35596</v>
      </c>
      <c r="F19" s="89">
        <v>0</v>
      </c>
      <c r="G19" s="89">
        <v>35596</v>
      </c>
      <c r="H19" s="142">
        <v>12070</v>
      </c>
      <c r="I19" s="142">
        <v>15817</v>
      </c>
      <c r="J19" s="143">
        <v>7709</v>
      </c>
      <c r="K19" s="142">
        <f t="shared" si="4"/>
        <v>235643</v>
      </c>
      <c r="L19" s="142">
        <v>183947</v>
      </c>
      <c r="M19" s="142">
        <f t="shared" si="5"/>
        <v>51696</v>
      </c>
      <c r="N19" s="89">
        <v>0</v>
      </c>
      <c r="O19" s="89">
        <v>51696</v>
      </c>
      <c r="P19" s="89">
        <v>19270</v>
      </c>
      <c r="Q19" s="89">
        <v>24717</v>
      </c>
      <c r="R19" s="89">
        <v>7709</v>
      </c>
      <c r="S19" s="89">
        <f t="shared" si="1"/>
        <v>103.72113086461053</v>
      </c>
      <c r="T19" s="89">
        <f t="shared" si="1"/>
        <v>96.009248772136772</v>
      </c>
      <c r="U19" s="89">
        <f t="shared" si="1"/>
        <v>145.22980110124732</v>
      </c>
      <c r="V19" s="89"/>
      <c r="W19" s="89">
        <f t="shared" si="1"/>
        <v>145.22980110124732</v>
      </c>
      <c r="X19" s="89">
        <f t="shared" si="1"/>
        <v>159.65202982601491</v>
      </c>
      <c r="Y19" s="89">
        <f t="shared" si="1"/>
        <v>156.26857178984636</v>
      </c>
      <c r="Z19" s="89">
        <f t="shared" si="1"/>
        <v>100</v>
      </c>
    </row>
    <row r="20" spans="1:26" ht="18" customHeight="1" x14ac:dyDescent="0.25">
      <c r="A20" s="87">
        <v>8</v>
      </c>
      <c r="B20" s="88" t="s">
        <v>272</v>
      </c>
      <c r="C20" s="89">
        <f t="shared" si="2"/>
        <v>400018</v>
      </c>
      <c r="D20" s="89">
        <v>334730</v>
      </c>
      <c r="E20" s="89">
        <f t="shared" si="3"/>
        <v>65288</v>
      </c>
      <c r="F20" s="89">
        <v>0</v>
      </c>
      <c r="G20" s="89">
        <v>65288</v>
      </c>
      <c r="H20" s="142">
        <v>2890</v>
      </c>
      <c r="I20" s="142">
        <v>54011</v>
      </c>
      <c r="J20" s="143">
        <v>8387</v>
      </c>
      <c r="K20" s="142">
        <f t="shared" si="4"/>
        <v>405842</v>
      </c>
      <c r="L20" s="142">
        <v>334730</v>
      </c>
      <c r="M20" s="142">
        <f t="shared" si="5"/>
        <v>71112</v>
      </c>
      <c r="N20" s="89">
        <v>0</v>
      </c>
      <c r="O20" s="89">
        <v>71112</v>
      </c>
      <c r="P20" s="89">
        <v>8090</v>
      </c>
      <c r="Q20" s="89">
        <v>54011</v>
      </c>
      <c r="R20" s="89">
        <v>9011</v>
      </c>
      <c r="S20" s="89">
        <f t="shared" si="1"/>
        <v>101.45593448294828</v>
      </c>
      <c r="T20" s="89">
        <f t="shared" si="1"/>
        <v>100</v>
      </c>
      <c r="U20" s="89">
        <f t="shared" si="1"/>
        <v>108.92047543193235</v>
      </c>
      <c r="V20" s="89"/>
      <c r="W20" s="89">
        <f t="shared" si="1"/>
        <v>108.92047543193235</v>
      </c>
      <c r="X20" s="89">
        <f t="shared" si="1"/>
        <v>279.93079584775086</v>
      </c>
      <c r="Y20" s="89">
        <f t="shared" si="1"/>
        <v>100</v>
      </c>
      <c r="Z20" s="89">
        <f t="shared" si="1"/>
        <v>107.44008584714439</v>
      </c>
    </row>
    <row r="21" spans="1:26" ht="18" customHeight="1" x14ac:dyDescent="0.25">
      <c r="A21" s="87">
        <v>9</v>
      </c>
      <c r="B21" s="88" t="s">
        <v>273</v>
      </c>
      <c r="C21" s="89">
        <f t="shared" si="2"/>
        <v>407919</v>
      </c>
      <c r="D21" s="89">
        <v>347930</v>
      </c>
      <c r="E21" s="89">
        <f t="shared" si="3"/>
        <v>59989</v>
      </c>
      <c r="F21" s="89">
        <v>0</v>
      </c>
      <c r="G21" s="89">
        <v>59989</v>
      </c>
      <c r="H21" s="142">
        <v>4960</v>
      </c>
      <c r="I21" s="142">
        <v>42441</v>
      </c>
      <c r="J21" s="143">
        <v>12588</v>
      </c>
      <c r="K21" s="142">
        <f t="shared" si="4"/>
        <v>404155</v>
      </c>
      <c r="L21" s="142">
        <v>338866</v>
      </c>
      <c r="M21" s="142">
        <f t="shared" si="5"/>
        <v>65289</v>
      </c>
      <c r="N21" s="89">
        <v>0</v>
      </c>
      <c r="O21" s="89">
        <v>65289</v>
      </c>
      <c r="P21" s="89">
        <v>10260</v>
      </c>
      <c r="Q21" s="89">
        <v>42441</v>
      </c>
      <c r="R21" s="89">
        <v>12588</v>
      </c>
      <c r="S21" s="89">
        <f t="shared" si="1"/>
        <v>99.077267790909474</v>
      </c>
      <c r="T21" s="89">
        <f t="shared" si="1"/>
        <v>97.394878280113815</v>
      </c>
      <c r="U21" s="89">
        <f t="shared" si="1"/>
        <v>108.83495307473036</v>
      </c>
      <c r="V21" s="89"/>
      <c r="W21" s="89">
        <f t="shared" si="1"/>
        <v>108.83495307473036</v>
      </c>
      <c r="X21" s="89">
        <f t="shared" si="1"/>
        <v>206.85483870967741</v>
      </c>
      <c r="Y21" s="89">
        <f t="shared" si="1"/>
        <v>100</v>
      </c>
      <c r="Z21" s="89">
        <f t="shared" si="1"/>
        <v>100</v>
      </c>
    </row>
    <row r="22" spans="1:26" ht="18" customHeight="1" x14ac:dyDescent="0.25">
      <c r="A22" s="90">
        <v>10</v>
      </c>
      <c r="B22" s="88" t="s">
        <v>274</v>
      </c>
      <c r="C22" s="89">
        <f t="shared" si="2"/>
        <v>139788</v>
      </c>
      <c r="D22" s="89">
        <v>125247</v>
      </c>
      <c r="E22" s="89">
        <f t="shared" si="3"/>
        <v>14541</v>
      </c>
      <c r="F22" s="89">
        <v>0</v>
      </c>
      <c r="G22" s="89">
        <v>14541</v>
      </c>
      <c r="H22" s="142">
        <v>6170</v>
      </c>
      <c r="I22" s="142">
        <v>6621</v>
      </c>
      <c r="J22" s="143">
        <v>1750</v>
      </c>
      <c r="K22" s="142">
        <f t="shared" si="4"/>
        <v>144875</v>
      </c>
      <c r="L22" s="142">
        <v>125247</v>
      </c>
      <c r="M22" s="142">
        <f t="shared" si="5"/>
        <v>19628</v>
      </c>
      <c r="N22" s="89">
        <v>0</v>
      </c>
      <c r="O22" s="89">
        <v>19628</v>
      </c>
      <c r="P22" s="89">
        <v>9270</v>
      </c>
      <c r="Q22" s="89">
        <v>7621</v>
      </c>
      <c r="R22" s="89">
        <v>2737</v>
      </c>
      <c r="S22" s="89">
        <f t="shared" si="1"/>
        <v>103.63908203851547</v>
      </c>
      <c r="T22" s="89">
        <f t="shared" si="1"/>
        <v>100</v>
      </c>
      <c r="U22" s="89">
        <f t="shared" si="1"/>
        <v>134.9838388006327</v>
      </c>
      <c r="V22" s="89"/>
      <c r="W22" s="89">
        <f t="shared" si="1"/>
        <v>134.9838388006327</v>
      </c>
      <c r="X22" s="89">
        <f t="shared" si="1"/>
        <v>150.24311183144246</v>
      </c>
      <c r="Y22" s="89">
        <f t="shared" si="1"/>
        <v>115.10345869204048</v>
      </c>
      <c r="Z22" s="89">
        <f t="shared" si="1"/>
        <v>156.4</v>
      </c>
    </row>
    <row r="23" spans="1:26" x14ac:dyDescent="0.25">
      <c r="A23" s="91"/>
    </row>
  </sheetData>
  <mergeCells count="32">
    <mergeCell ref="R1:Z1"/>
    <mergeCell ref="A3:Z3"/>
    <mergeCell ref="A4:Z4"/>
    <mergeCell ref="A7:A10"/>
    <mergeCell ref="B7:B10"/>
    <mergeCell ref="C7:J7"/>
    <mergeCell ref="K7:R7"/>
    <mergeCell ref="S7:Z7"/>
    <mergeCell ref="C8:C10"/>
    <mergeCell ref="D8:D10"/>
    <mergeCell ref="U8:Z8"/>
    <mergeCell ref="E9:E10"/>
    <mergeCell ref="F9:G9"/>
    <mergeCell ref="H9:H10"/>
    <mergeCell ref="I9:I10"/>
    <mergeCell ref="E8:J8"/>
    <mergeCell ref="K8:K10"/>
    <mergeCell ref="L8:L10"/>
    <mergeCell ref="M8:R8"/>
    <mergeCell ref="S8:S10"/>
    <mergeCell ref="J9:J10"/>
    <mergeCell ref="M9:M10"/>
    <mergeCell ref="N9:O9"/>
    <mergeCell ref="P9:P10"/>
    <mergeCell ref="Q9:Q10"/>
    <mergeCell ref="R9:R10"/>
    <mergeCell ref="Z9:Z10"/>
    <mergeCell ref="T8:T10"/>
    <mergeCell ref="U9:U10"/>
    <mergeCell ref="V9:W9"/>
    <mergeCell ref="X9:X10"/>
    <mergeCell ref="Y9:Y10"/>
  </mergeCells>
  <pageMargins left="0.37" right="0.15748031496062992" top="0.74803149606299213"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01</vt:lpstr>
      <vt:lpstr>02</vt:lpstr>
      <vt:lpstr>03</vt:lpstr>
      <vt:lpstr>04</vt:lpstr>
      <vt:lpstr>05</vt:lpstr>
      <vt:lpstr>06</vt:lpstr>
      <vt:lpstr>07</vt:lpstr>
      <vt:lpstr>08</vt:lpstr>
      <vt:lpstr>09</vt:lpstr>
      <vt:lpstr>10</vt:lpstr>
      <vt:lpstr>11</vt:lpstr>
      <vt:lpstr>'01'!chuong_phuluc_48</vt:lpstr>
      <vt:lpstr>'01'!chuong_phuluc_48_name</vt:lpstr>
      <vt:lpstr>'02'!chuong_phuluc_49</vt:lpstr>
      <vt:lpstr>'02'!chuong_phuluc_49_name</vt:lpstr>
      <vt:lpstr>'03'!chuong_phuluc_50</vt:lpstr>
      <vt:lpstr>'03'!chuong_phuluc_50_name</vt:lpstr>
      <vt:lpstr>'04'!chuong_phuluc_51</vt:lpstr>
      <vt:lpstr>'04'!chuong_phuluc_51_name</vt:lpstr>
      <vt:lpstr>'05'!chuong_phuluc_52</vt:lpstr>
      <vt:lpstr>'05'!chuong_phuluc_52_name</vt:lpstr>
      <vt:lpstr>'06'!chuong_phuluc_53</vt:lpstr>
      <vt:lpstr>'06'!chuong_phuluc_53_name</vt:lpstr>
      <vt:lpstr>'07'!chuong_phuluc_54</vt:lpstr>
      <vt:lpstr>'07'!chuong_phuluc_54_name</vt:lpstr>
      <vt:lpstr>'08'!chuong_phuluc_58</vt:lpstr>
      <vt:lpstr>'08'!chuong_phuluc_58_name</vt:lpstr>
      <vt:lpstr>'10'!chuong_phuluc_60</vt:lpstr>
      <vt:lpstr>'10'!chuong_phuluc_60_name</vt:lpstr>
      <vt:lpstr>'11'!chuong_phuluc_61</vt:lpstr>
      <vt:lpstr>'11'!chuong_phuluc_61_name</vt:lpstr>
      <vt:lpstr>'03'!Print_Titles</vt:lpstr>
      <vt:lpstr>'04'!Print_Titles</vt:lpstr>
      <vt:lpstr>'06'!Print_Titles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Admin</cp:lastModifiedBy>
  <cp:lastPrinted>2019-12-19T08:52:20Z</cp:lastPrinted>
  <dcterms:created xsi:type="dcterms:W3CDTF">2017-04-26T02:19:00Z</dcterms:created>
  <dcterms:modified xsi:type="dcterms:W3CDTF">2019-12-24T08:14:17Z</dcterms:modified>
</cp:coreProperties>
</file>